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driv\UCFW\Pension_Choice_Modeling\Jims_Models\"/>
    </mc:Choice>
  </mc:AlternateContent>
  <xr:revisionPtr revIDLastSave="0" documentId="13_ncr:1_{46D4E1D6-D31B-4A7E-A3C6-F591AE0F49C5}" xr6:coauthVersionLast="47" xr6:coauthVersionMax="47" xr10:uidLastSave="{00000000-0000-0000-0000-000000000000}"/>
  <bookViews>
    <workbookView xWindow="19980" yWindow="585" windowWidth="16440" windowHeight="20970" activeTab="3" xr2:uid="{54F25567-3F6A-A44A-A150-5EF5D8177EEC}"/>
  </bookViews>
  <sheets>
    <sheet name="Read Me!" sheetId="5" r:id="rId1"/>
    <sheet name="Home_Page" sheetId="3" r:id="rId2"/>
    <sheet name="Tabular_Output" sheetId="2" r:id="rId3"/>
    <sheet name="Sheet1" sheetId="4" r:id="rId4"/>
  </sheets>
  <definedNames>
    <definedName name="AGE_1">OFFSET(Tabular_Output!$B$12,0,0,COUNTA(Tabular_Output!$B$12:$B$59),1)</definedName>
    <definedName name="Output">Tabular_Output!$L$3:$S$37</definedName>
    <definedName name="PENSIONANN">OFFSET(Tabular_Output!$G$12,0,0,COUNTA(Tabular_Output!$G$12:$G$59),1)</definedName>
    <definedName name="PENSIONPCT">OFFSET(Tabular_Output!$D$12,0,0,COUNTA(Tabular_Output!$D$12:$D$59),1)</definedName>
    <definedName name="_xlnm.Print_Area" localSheetId="1">Home_Page!$A$1:$I$49</definedName>
    <definedName name="_xlnm.Print_Area" localSheetId="2">Tabular_Output!$A$1:$S$59</definedName>
    <definedName name="SALARY">OFFSET(Tabular_Output!$A$12,0,0,COUNTA(Tabular_Output!$A$12:$A$59),1)</definedName>
    <definedName name="SAVINGSANN">OFFSET(Tabular_Output!$F$12,0,0,COUNTA(Tabular_Output!$F$12:$F$59),1)</definedName>
    <definedName name="SAVINGSPCT">OFFSET(Tabular_Output!$C$12,0,0,COUNTA(Tabular_Output!$C$12:$C$59),1)</definedName>
    <definedName name="SECONDANN">OFFSET(Tabular_Output!$H$12,0,0,COUNTA(Tabular_Output!$H$12:$H$59),1)</definedName>
    <definedName name="SECONDPCT">OFFSET(Tabular_Output!$E$12,0,0,COUNTA(Tabular_Output!$E$12:$E$59),1)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3" i="4" l="1"/>
  <c r="A1" i="4"/>
  <c r="BB24" i="4"/>
  <c r="BB25" i="4" s="1"/>
  <c r="BB26" i="4" s="1"/>
  <c r="BB27" i="4" s="1"/>
  <c r="BB28" i="4" s="1"/>
  <c r="BB29" i="4" s="1"/>
  <c r="BB30" i="4" s="1"/>
  <c r="BB31" i="4" s="1"/>
  <c r="BB32" i="4" s="1"/>
  <c r="BB33" i="4" s="1"/>
  <c r="BB34" i="4" s="1"/>
  <c r="BB35" i="4" s="1"/>
  <c r="BB36" i="4" s="1"/>
  <c r="BB37" i="4" s="1"/>
  <c r="BB38" i="4" s="1"/>
  <c r="BB39" i="4" s="1"/>
  <c r="BB40" i="4" s="1"/>
  <c r="BB41" i="4" s="1"/>
  <c r="BB42" i="4" s="1"/>
  <c r="BB43" i="4" s="1"/>
  <c r="BB44" i="4" s="1"/>
  <c r="BB45" i="4" s="1"/>
  <c r="BB46" i="4" s="1"/>
  <c r="BB47" i="4" s="1"/>
  <c r="BB48" i="4" s="1"/>
  <c r="BB49" i="4" s="1"/>
  <c r="BB50" i="4" s="1"/>
  <c r="F6" i="2"/>
  <c r="A7" i="2"/>
  <c r="I53" i="4"/>
  <c r="H53" i="4"/>
  <c r="AE3" i="4" s="1"/>
  <c r="E53" i="4"/>
  <c r="D53" i="4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C53" i="4"/>
  <c r="C59" i="4" s="1"/>
  <c r="C60" i="4" s="1"/>
  <c r="B53" i="4"/>
  <c r="D3" i="4" s="1"/>
  <c r="A53" i="4"/>
  <c r="A3" i="4" s="1"/>
  <c r="B6" i="4"/>
  <c r="I4" i="4"/>
  <c r="B4" i="4"/>
  <c r="B5" i="4" s="1"/>
  <c r="L3" i="4"/>
  <c r="I3" i="4"/>
  <c r="AJ3" i="4" l="1"/>
  <c r="AK4" i="4" s="1"/>
  <c r="C45" i="4"/>
  <c r="C41" i="4"/>
  <c r="C37" i="4"/>
  <c r="C33" i="4"/>
  <c r="C29" i="4"/>
  <c r="C25" i="4"/>
  <c r="C21" i="4"/>
  <c r="C17" i="4"/>
  <c r="C13" i="4"/>
  <c r="C9" i="4"/>
  <c r="C5" i="4"/>
  <c r="V3" i="4"/>
  <c r="W4" i="4" s="1"/>
  <c r="C48" i="4"/>
  <c r="C44" i="4"/>
  <c r="C40" i="4"/>
  <c r="C36" i="4"/>
  <c r="C32" i="4"/>
  <c r="C28" i="4"/>
  <c r="C24" i="4"/>
  <c r="C20" i="4"/>
  <c r="C16" i="4"/>
  <c r="C12" i="4"/>
  <c r="C8" i="4"/>
  <c r="C4" i="4"/>
  <c r="AM3" i="4"/>
  <c r="AN4" i="4" s="1"/>
  <c r="C39" i="4"/>
  <c r="C19" i="4"/>
  <c r="S3" i="4"/>
  <c r="T4" i="4" s="1"/>
  <c r="C49" i="4"/>
  <c r="C3" i="4"/>
  <c r="D4" i="4" s="1"/>
  <c r="C47" i="4"/>
  <c r="C43" i="4"/>
  <c r="C35" i="4"/>
  <c r="C31" i="4"/>
  <c r="C27" i="4"/>
  <c r="C23" i="4"/>
  <c r="C15" i="4"/>
  <c r="C11" i="4"/>
  <c r="C7" i="4"/>
  <c r="C50" i="4"/>
  <c r="C46" i="4"/>
  <c r="C42" i="4"/>
  <c r="C38" i="4"/>
  <c r="C34" i="4"/>
  <c r="C30" i="4"/>
  <c r="C26" i="4"/>
  <c r="C22" i="4"/>
  <c r="C18" i="4"/>
  <c r="C14" i="4"/>
  <c r="C10" i="4"/>
  <c r="C6" i="4"/>
  <c r="L4" i="4"/>
  <c r="O3" i="4"/>
  <c r="AH4" i="4" s="1"/>
  <c r="F53" i="4"/>
  <c r="AE4" i="4"/>
  <c r="AF4" i="4" s="1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G53" i="4"/>
  <c r="AF3" i="4"/>
  <c r="L5" i="4"/>
  <c r="AE5" i="4"/>
  <c r="I5" i="4"/>
  <c r="L6" i="4"/>
  <c r="AE6" i="4"/>
  <c r="I6" i="4"/>
  <c r="B7" i="4"/>
  <c r="A4" i="4"/>
  <c r="G3" i="4"/>
  <c r="N3" i="4"/>
  <c r="AM4" i="4" l="1"/>
  <c r="AN5" i="4" s="1"/>
  <c r="V4" i="4"/>
  <c r="W5" i="4" s="1"/>
  <c r="AJ4" i="4"/>
  <c r="AK5" i="4" s="1"/>
  <c r="S4" i="4"/>
  <c r="T5" i="4" s="1"/>
  <c r="P4" i="4"/>
  <c r="Q4" i="4" s="1"/>
  <c r="AG3" i="4"/>
  <c r="AP3" i="4" s="1"/>
  <c r="AL4" i="4"/>
  <c r="AI4" i="4"/>
  <c r="AO4" i="4"/>
  <c r="U4" i="4"/>
  <c r="X4" i="4"/>
  <c r="O4" i="4"/>
  <c r="AH5" i="4" s="1"/>
  <c r="Y3" i="4"/>
  <c r="AF5" i="4"/>
  <c r="A5" i="4"/>
  <c r="N4" i="4"/>
  <c r="AG4" i="4" s="1"/>
  <c r="D5" i="4"/>
  <c r="G4" i="4"/>
  <c r="B8" i="4"/>
  <c r="I7" i="4"/>
  <c r="AE7" i="4"/>
  <c r="L7" i="4"/>
  <c r="AF6" i="4"/>
  <c r="AM5" i="4" l="1"/>
  <c r="AN6" i="4" s="1"/>
  <c r="V5" i="4"/>
  <c r="W6" i="4" s="1"/>
  <c r="AJ5" i="4"/>
  <c r="AK6" i="4" s="1"/>
  <c r="S5" i="4"/>
  <c r="T6" i="4" s="1"/>
  <c r="AI5" i="4"/>
  <c r="X5" i="4"/>
  <c r="AO5" i="4"/>
  <c r="AL5" i="4"/>
  <c r="U5" i="4"/>
  <c r="O5" i="4"/>
  <c r="AH6" i="4" s="1"/>
  <c r="AP4" i="4"/>
  <c r="P5" i="4"/>
  <c r="Q5" i="4" s="1"/>
  <c r="B9" i="4"/>
  <c r="AF7" i="4"/>
  <c r="D6" i="4"/>
  <c r="G5" i="4"/>
  <c r="N5" i="4"/>
  <c r="AG5" i="4" s="1"/>
  <c r="A6" i="4"/>
  <c r="Y4" i="4"/>
  <c r="AM6" i="4" l="1"/>
  <c r="AN7" i="4" s="1"/>
  <c r="V6" i="4"/>
  <c r="W7" i="4" s="1"/>
  <c r="AJ6" i="4"/>
  <c r="AK7" i="4" s="1"/>
  <c r="S6" i="4"/>
  <c r="T7" i="4" s="1"/>
  <c r="AL6" i="4"/>
  <c r="AI6" i="4"/>
  <c r="U6" i="4"/>
  <c r="X6" i="4"/>
  <c r="AO6" i="4"/>
  <c r="O6" i="4"/>
  <c r="AH7" i="4" s="1"/>
  <c r="AP5" i="4"/>
  <c r="D7" i="4"/>
  <c r="G6" i="4"/>
  <c r="B10" i="4"/>
  <c r="P6" i="4"/>
  <c r="Q6" i="4" s="1"/>
  <c r="A7" i="4"/>
  <c r="N6" i="4"/>
  <c r="AG6" i="4" s="1"/>
  <c r="Y5" i="4"/>
  <c r="V7" i="4" l="1"/>
  <c r="W8" i="4" s="1"/>
  <c r="S7" i="4"/>
  <c r="T8" i="4" s="1"/>
  <c r="AJ7" i="4"/>
  <c r="AK8" i="4" s="1"/>
  <c r="AM7" i="4"/>
  <c r="AN8" i="4" s="1"/>
  <c r="AL7" i="4"/>
  <c r="U7" i="4"/>
  <c r="AO7" i="4"/>
  <c r="AI7" i="4"/>
  <c r="H8" i="4"/>
  <c r="X7" i="4"/>
  <c r="O7" i="4"/>
  <c r="AH8" i="4" s="1"/>
  <c r="Y6" i="4"/>
  <c r="G7" i="4"/>
  <c r="K8" i="4" s="1"/>
  <c r="D8" i="4"/>
  <c r="P7" i="4"/>
  <c r="Q7" i="4" s="1"/>
  <c r="B11" i="4"/>
  <c r="AP6" i="4"/>
  <c r="A8" i="4"/>
  <c r="N7" i="4"/>
  <c r="AG7" i="4" s="1"/>
  <c r="S8" i="4" l="1"/>
  <c r="T9" i="4" s="1"/>
  <c r="AJ8" i="4"/>
  <c r="AK9" i="4" s="1"/>
  <c r="AM8" i="4"/>
  <c r="AN9" i="4" s="1"/>
  <c r="V8" i="4"/>
  <c r="W9" i="4" s="1"/>
  <c r="H9" i="4"/>
  <c r="U8" i="4"/>
  <c r="X8" i="4"/>
  <c r="AL8" i="4"/>
  <c r="AO8" i="4"/>
  <c r="AI8" i="4"/>
  <c r="I8" i="4"/>
  <c r="O8" i="4"/>
  <c r="AH9" i="4" s="1"/>
  <c r="Y7" i="4"/>
  <c r="AE8" i="4"/>
  <c r="L8" i="4"/>
  <c r="AP7" i="4"/>
  <c r="B12" i="4"/>
  <c r="A9" i="4"/>
  <c r="N8" i="4"/>
  <c r="M8" i="4" s="1"/>
  <c r="D9" i="4"/>
  <c r="G8" i="4"/>
  <c r="K9" i="4" s="1"/>
  <c r="P8" i="4"/>
  <c r="Q8" i="4" s="1"/>
  <c r="AJ9" i="4" l="1"/>
  <c r="AK10" i="4" s="1"/>
  <c r="AM9" i="4"/>
  <c r="AN10" i="4" s="1"/>
  <c r="V9" i="4"/>
  <c r="W10" i="4" s="1"/>
  <c r="S9" i="4"/>
  <c r="T10" i="4" s="1"/>
  <c r="H10" i="4"/>
  <c r="AL9" i="4"/>
  <c r="J8" i="4"/>
  <c r="AO9" i="4"/>
  <c r="U9" i="4"/>
  <c r="X9" i="4"/>
  <c r="AI9" i="4"/>
  <c r="O9" i="4"/>
  <c r="AH10" i="4" s="1"/>
  <c r="I9" i="4"/>
  <c r="Y8" i="4"/>
  <c r="AF8" i="4"/>
  <c r="AG8" i="4"/>
  <c r="AP8" i="4" s="1"/>
  <c r="D10" i="4"/>
  <c r="G9" i="4"/>
  <c r="AE9" i="4"/>
  <c r="L9" i="4"/>
  <c r="P9" i="4"/>
  <c r="Q9" i="4" s="1"/>
  <c r="A10" i="4"/>
  <c r="N9" i="4"/>
  <c r="M9" i="4" s="1"/>
  <c r="B13" i="4"/>
  <c r="H11" i="4" l="1"/>
  <c r="AM10" i="4"/>
  <c r="AN11" i="4" s="1"/>
  <c r="AJ10" i="4"/>
  <c r="AK11" i="4" s="1"/>
  <c r="S10" i="4"/>
  <c r="T11" i="4" s="1"/>
  <c r="V10" i="4"/>
  <c r="W11" i="4" s="1"/>
  <c r="J9" i="4"/>
  <c r="AL10" i="4"/>
  <c r="AO10" i="4"/>
  <c r="U10" i="4"/>
  <c r="X10" i="4"/>
  <c r="AI10" i="4"/>
  <c r="I10" i="4"/>
  <c r="O10" i="4"/>
  <c r="AH11" i="4" s="1"/>
  <c r="Y9" i="4"/>
  <c r="B14" i="4"/>
  <c r="AG9" i="4"/>
  <c r="AP9" i="4" s="1"/>
  <c r="AF9" i="4"/>
  <c r="D11" i="4"/>
  <c r="G10" i="4"/>
  <c r="A11" i="4"/>
  <c r="N10" i="4"/>
  <c r="J10" i="4" s="1"/>
  <c r="P10" i="4"/>
  <c r="Q10" i="4" s="1"/>
  <c r="K10" i="4"/>
  <c r="H12" i="4" l="1"/>
  <c r="S11" i="4"/>
  <c r="T12" i="4" s="1"/>
  <c r="V11" i="4"/>
  <c r="W12" i="4" s="1"/>
  <c r="AJ11" i="4"/>
  <c r="AK12" i="4" s="1"/>
  <c r="AM11" i="4"/>
  <c r="AN12" i="4" s="1"/>
  <c r="U11" i="4"/>
  <c r="AL11" i="4"/>
  <c r="AO11" i="4"/>
  <c r="AI11" i="4"/>
  <c r="X11" i="4"/>
  <c r="O11" i="4"/>
  <c r="AH12" i="4" s="1"/>
  <c r="I11" i="4"/>
  <c r="N11" i="4"/>
  <c r="J11" i="4" s="1"/>
  <c r="A12" i="4"/>
  <c r="P11" i="4"/>
  <c r="Q11" i="4" s="1"/>
  <c r="B15" i="4"/>
  <c r="AE10" i="4"/>
  <c r="L10" i="4"/>
  <c r="M10" i="4"/>
  <c r="Y10" i="4" s="1"/>
  <c r="D12" i="4"/>
  <c r="G11" i="4"/>
  <c r="K12" i="4" s="1"/>
  <c r="K11" i="4"/>
  <c r="AM12" i="4" l="1"/>
  <c r="AN13" i="4" s="1"/>
  <c r="V12" i="4"/>
  <c r="W13" i="4" s="1"/>
  <c r="AJ12" i="4"/>
  <c r="AK13" i="4" s="1"/>
  <c r="S12" i="4"/>
  <c r="T13" i="4" s="1"/>
  <c r="AL12" i="4"/>
  <c r="AI12" i="4"/>
  <c r="X12" i="4"/>
  <c r="U12" i="4"/>
  <c r="AO12" i="4"/>
  <c r="H13" i="4"/>
  <c r="I12" i="4"/>
  <c r="O12" i="4"/>
  <c r="AE12" i="4"/>
  <c r="L12" i="4"/>
  <c r="AF10" i="4"/>
  <c r="AG10" i="4"/>
  <c r="AP10" i="4" s="1"/>
  <c r="D13" i="4"/>
  <c r="G12" i="4"/>
  <c r="K13" i="4" s="1"/>
  <c r="P12" i="4"/>
  <c r="Q12" i="4" s="1"/>
  <c r="AE11" i="4"/>
  <c r="L11" i="4"/>
  <c r="M11" i="4"/>
  <c r="Y11" i="4" s="1"/>
  <c r="N12" i="4"/>
  <c r="M12" i="4" s="1"/>
  <c r="A13" i="4"/>
  <c r="B16" i="4"/>
  <c r="AM13" i="4" l="1"/>
  <c r="AN14" i="4" s="1"/>
  <c r="V13" i="4"/>
  <c r="W14" i="4" s="1"/>
  <c r="AJ13" i="4"/>
  <c r="AK14" i="4" s="1"/>
  <c r="S13" i="4"/>
  <c r="T14" i="4" s="1"/>
  <c r="AL13" i="4"/>
  <c r="X13" i="4"/>
  <c r="AH13" i="4"/>
  <c r="H14" i="4"/>
  <c r="U13" i="4"/>
  <c r="AO13" i="4"/>
  <c r="J12" i="4"/>
  <c r="I13" i="4"/>
  <c r="O13" i="4"/>
  <c r="Y12" i="4"/>
  <c r="AE13" i="4"/>
  <c r="L13" i="4"/>
  <c r="B17" i="4"/>
  <c r="P13" i="4"/>
  <c r="Q13" i="4" s="1"/>
  <c r="AG11" i="4"/>
  <c r="AP11" i="4" s="1"/>
  <c r="AF11" i="4"/>
  <c r="D14" i="4"/>
  <c r="G13" i="4"/>
  <c r="N13" i="4"/>
  <c r="M13" i="4" s="1"/>
  <c r="A14" i="4"/>
  <c r="AF12" i="4"/>
  <c r="AG12" i="4"/>
  <c r="AP12" i="4" s="1"/>
  <c r="AM14" i="4" l="1"/>
  <c r="AN15" i="4" s="1"/>
  <c r="V14" i="4"/>
  <c r="W15" i="4" s="1"/>
  <c r="AJ14" i="4"/>
  <c r="AK15" i="4" s="1"/>
  <c r="S14" i="4"/>
  <c r="T15" i="4" s="1"/>
  <c r="AH14" i="4"/>
  <c r="AI14" i="4" s="1"/>
  <c r="AI13" i="4"/>
  <c r="H15" i="4"/>
  <c r="AL14" i="4"/>
  <c r="U14" i="4"/>
  <c r="J13" i="4"/>
  <c r="AO14" i="4"/>
  <c r="X14" i="4"/>
  <c r="I14" i="4"/>
  <c r="O14" i="4"/>
  <c r="Y13" i="4"/>
  <c r="P14" i="4"/>
  <c r="Q14" i="4" s="1"/>
  <c r="G14" i="4"/>
  <c r="D15" i="4"/>
  <c r="K14" i="4"/>
  <c r="B18" i="4"/>
  <c r="N14" i="4"/>
  <c r="J14" i="4" s="1"/>
  <c r="A15" i="4"/>
  <c r="AG13" i="4"/>
  <c r="AF13" i="4"/>
  <c r="AM15" i="4" l="1"/>
  <c r="AN16" i="4" s="1"/>
  <c r="V15" i="4"/>
  <c r="W16" i="4" s="1"/>
  <c r="S15" i="4"/>
  <c r="T16" i="4" s="1"/>
  <c r="AJ15" i="4"/>
  <c r="AK16" i="4" s="1"/>
  <c r="AP13" i="4"/>
  <c r="AH15" i="4"/>
  <c r="AI15" i="4" s="1"/>
  <c r="U15" i="4"/>
  <c r="H16" i="4"/>
  <c r="AL15" i="4"/>
  <c r="X15" i="4"/>
  <c r="AO15" i="4"/>
  <c r="I15" i="4"/>
  <c r="O15" i="4"/>
  <c r="N15" i="4"/>
  <c r="J15" i="4" s="1"/>
  <c r="A16" i="4"/>
  <c r="K15" i="4"/>
  <c r="G15" i="4"/>
  <c r="D16" i="4"/>
  <c r="P15" i="4"/>
  <c r="Q15" i="4" s="1"/>
  <c r="B19" i="4"/>
  <c r="L14" i="4"/>
  <c r="AE14" i="4"/>
  <c r="M14" i="4"/>
  <c r="Y14" i="4" s="1"/>
  <c r="H17" i="4" l="1"/>
  <c r="AM16" i="4"/>
  <c r="AN17" i="4" s="1"/>
  <c r="V16" i="4"/>
  <c r="AJ16" i="4"/>
  <c r="AK17" i="4" s="1"/>
  <c r="S16" i="4"/>
  <c r="T17" i="4" s="1"/>
  <c r="AH16" i="4"/>
  <c r="AI16" i="4" s="1"/>
  <c r="X16" i="4"/>
  <c r="U16" i="4"/>
  <c r="AL16" i="4"/>
  <c r="AO16" i="4"/>
  <c r="W17" i="4"/>
  <c r="O16" i="4"/>
  <c r="I16" i="4"/>
  <c r="K16" i="4"/>
  <c r="AE15" i="4"/>
  <c r="L15" i="4"/>
  <c r="M15" i="4"/>
  <c r="Y15" i="4" s="1"/>
  <c r="B20" i="4"/>
  <c r="AG14" i="4"/>
  <c r="AP14" i="4" s="1"/>
  <c r="AF14" i="4"/>
  <c r="P16" i="4"/>
  <c r="Q16" i="4" s="1"/>
  <c r="A17" i="4"/>
  <c r="N16" i="4"/>
  <c r="J16" i="4" s="1"/>
  <c r="G16" i="4"/>
  <c r="K17" i="4" s="1"/>
  <c r="D17" i="4"/>
  <c r="AM17" i="4" l="1"/>
  <c r="AN18" i="4" s="1"/>
  <c r="S17" i="4"/>
  <c r="T18" i="4" s="1"/>
  <c r="V17" i="4"/>
  <c r="W18" i="4" s="1"/>
  <c r="AJ17" i="4"/>
  <c r="AK18" i="4" s="1"/>
  <c r="AL17" i="4"/>
  <c r="AH17" i="4"/>
  <c r="U17" i="4"/>
  <c r="X17" i="4"/>
  <c r="AO17" i="4"/>
  <c r="H18" i="4"/>
  <c r="O17" i="4"/>
  <c r="I17" i="4"/>
  <c r="P17" i="4"/>
  <c r="Q17" i="4" s="1"/>
  <c r="AE17" i="4"/>
  <c r="L17" i="4"/>
  <c r="AG15" i="4"/>
  <c r="AP15" i="4" s="1"/>
  <c r="AF15" i="4"/>
  <c r="B21" i="4"/>
  <c r="AE16" i="4"/>
  <c r="L16" i="4"/>
  <c r="M16" i="4"/>
  <c r="Y16" i="4" s="1"/>
  <c r="A18" i="4"/>
  <c r="N17" i="4"/>
  <c r="M17" i="4" s="1"/>
  <c r="D18" i="4"/>
  <c r="G17" i="4"/>
  <c r="V18" i="4" l="1"/>
  <c r="W19" i="4" s="1"/>
  <c r="AM18" i="4"/>
  <c r="AN19" i="4" s="1"/>
  <c r="S18" i="4"/>
  <c r="T19" i="4" s="1"/>
  <c r="AJ18" i="4"/>
  <c r="AK19" i="4" s="1"/>
  <c r="X18" i="4"/>
  <c r="AH18" i="4"/>
  <c r="AI18" i="4" s="1"/>
  <c r="AI17" i="4"/>
  <c r="J17" i="4"/>
  <c r="AL18" i="4"/>
  <c r="AO18" i="4"/>
  <c r="U18" i="4"/>
  <c r="H19" i="4"/>
  <c r="O18" i="4"/>
  <c r="I18" i="4"/>
  <c r="Y17" i="4"/>
  <c r="B22" i="4"/>
  <c r="A19" i="4"/>
  <c r="N18" i="4"/>
  <c r="J18" i="4" s="1"/>
  <c r="AG16" i="4"/>
  <c r="AP16" i="4" s="1"/>
  <c r="AF16" i="4"/>
  <c r="AF17" i="4"/>
  <c r="AG17" i="4"/>
  <c r="D19" i="4"/>
  <c r="G18" i="4"/>
  <c r="K19" i="4" s="1"/>
  <c r="K18" i="4"/>
  <c r="P18" i="4"/>
  <c r="Q18" i="4" s="1"/>
  <c r="AJ19" i="4" l="1"/>
  <c r="AK20" i="4" s="1"/>
  <c r="S19" i="4"/>
  <c r="T20" i="4" s="1"/>
  <c r="AM19" i="4"/>
  <c r="AN20" i="4" s="1"/>
  <c r="V19" i="4"/>
  <c r="W20" i="4" s="1"/>
  <c r="AH19" i="4"/>
  <c r="AI19" i="4" s="1"/>
  <c r="X19" i="4"/>
  <c r="AP17" i="4"/>
  <c r="AL19" i="4"/>
  <c r="AO19" i="4"/>
  <c r="U19" i="4"/>
  <c r="H20" i="4"/>
  <c r="I19" i="4"/>
  <c r="O19" i="4"/>
  <c r="AE18" i="4"/>
  <c r="L18" i="4"/>
  <c r="M18" i="4"/>
  <c r="Y18" i="4" s="1"/>
  <c r="D20" i="4"/>
  <c r="G19" i="4"/>
  <c r="N19" i="4"/>
  <c r="M19" i="4" s="1"/>
  <c r="A20" i="4"/>
  <c r="P19" i="4"/>
  <c r="Q19" i="4" s="1"/>
  <c r="B23" i="4"/>
  <c r="AE19" i="4"/>
  <c r="L19" i="4"/>
  <c r="AM20" i="4" l="1"/>
  <c r="AN21" i="4" s="1"/>
  <c r="V20" i="4"/>
  <c r="W21" i="4" s="1"/>
  <c r="AJ20" i="4"/>
  <c r="AK21" i="4" s="1"/>
  <c r="S20" i="4"/>
  <c r="T21" i="4" s="1"/>
  <c r="AH20" i="4"/>
  <c r="AI20" i="4" s="1"/>
  <c r="U20" i="4"/>
  <c r="AL20" i="4"/>
  <c r="AO20" i="4"/>
  <c r="X20" i="4"/>
  <c r="H21" i="4"/>
  <c r="J19" i="4"/>
  <c r="O20" i="4"/>
  <c r="I20" i="4"/>
  <c r="Y19" i="4"/>
  <c r="G20" i="4"/>
  <c r="K21" i="4" s="1"/>
  <c r="D21" i="4"/>
  <c r="B24" i="4"/>
  <c r="P20" i="4"/>
  <c r="Q20" i="4" s="1"/>
  <c r="N20" i="4"/>
  <c r="J20" i="4" s="1"/>
  <c r="A21" i="4"/>
  <c r="AG19" i="4"/>
  <c r="AP19" i="4" s="1"/>
  <c r="AF19" i="4"/>
  <c r="K20" i="4"/>
  <c r="AF18" i="4"/>
  <c r="AG18" i="4"/>
  <c r="AP18" i="4" s="1"/>
  <c r="AH21" i="4" l="1"/>
  <c r="AI21" i="4" s="1"/>
  <c r="H22" i="4"/>
  <c r="AM21" i="4"/>
  <c r="AN22" i="4" s="1"/>
  <c r="V21" i="4"/>
  <c r="W22" i="4" s="1"/>
  <c r="AJ21" i="4"/>
  <c r="AK22" i="4" s="1"/>
  <c r="S21" i="4"/>
  <c r="T22" i="4" s="1"/>
  <c r="AL21" i="4"/>
  <c r="U21" i="4"/>
  <c r="AO21" i="4"/>
  <c r="X21" i="4"/>
  <c r="I21" i="4"/>
  <c r="O21" i="4"/>
  <c r="AE21" i="4"/>
  <c r="L21" i="4"/>
  <c r="B25" i="4"/>
  <c r="A22" i="4"/>
  <c r="N21" i="4"/>
  <c r="M21" i="4" s="1"/>
  <c r="P21" i="4"/>
  <c r="Q21" i="4" s="1"/>
  <c r="D22" i="4"/>
  <c r="G21" i="4"/>
  <c r="AE20" i="4"/>
  <c r="L20" i="4"/>
  <c r="M20" i="4"/>
  <c r="Y20" i="4" s="1"/>
  <c r="AH22" i="4" l="1"/>
  <c r="AI22" i="4" s="1"/>
  <c r="AM22" i="4"/>
  <c r="AN23" i="4" s="1"/>
  <c r="V22" i="4"/>
  <c r="W23" i="4" s="1"/>
  <c r="AJ22" i="4"/>
  <c r="AK23" i="4" s="1"/>
  <c r="S22" i="4"/>
  <c r="T23" i="4" s="1"/>
  <c r="J21" i="4"/>
  <c r="H23" i="4"/>
  <c r="AO22" i="4"/>
  <c r="U22" i="4"/>
  <c r="X22" i="4"/>
  <c r="AL22" i="4"/>
  <c r="I22" i="4"/>
  <c r="O22" i="4"/>
  <c r="Y21" i="4"/>
  <c r="K22" i="4"/>
  <c r="AG21" i="4"/>
  <c r="AP21" i="4" s="1"/>
  <c r="AF21" i="4"/>
  <c r="B26" i="4"/>
  <c r="D23" i="4"/>
  <c r="G22" i="4"/>
  <c r="AG20" i="4"/>
  <c r="AP20" i="4" s="1"/>
  <c r="AF20" i="4"/>
  <c r="N22" i="4"/>
  <c r="J22" i="4" s="1"/>
  <c r="A23" i="4"/>
  <c r="P22" i="4"/>
  <c r="Q22" i="4" s="1"/>
  <c r="AH23" i="4" l="1"/>
  <c r="AI23" i="4" s="1"/>
  <c r="H24" i="4"/>
  <c r="AM23" i="4"/>
  <c r="AN24" i="4" s="1"/>
  <c r="V23" i="4"/>
  <c r="W24" i="4" s="1"/>
  <c r="AJ23" i="4"/>
  <c r="AK24" i="4" s="1"/>
  <c r="S23" i="4"/>
  <c r="T24" i="4" s="1"/>
  <c r="AO23" i="4"/>
  <c r="X23" i="4"/>
  <c r="U23" i="4"/>
  <c r="AL23" i="4"/>
  <c r="O23" i="4"/>
  <c r="I23" i="4"/>
  <c r="D24" i="4"/>
  <c r="G23" i="4"/>
  <c r="L22" i="4"/>
  <c r="AE22" i="4"/>
  <c r="M22" i="4"/>
  <c r="Y22" i="4" s="1"/>
  <c r="P23" i="4"/>
  <c r="Q23" i="4" s="1"/>
  <c r="B27" i="4"/>
  <c r="N23" i="4"/>
  <c r="J23" i="4" s="1"/>
  <c r="A24" i="4"/>
  <c r="K23" i="4"/>
  <c r="AH24" i="4" l="1"/>
  <c r="AI24" i="4" s="1"/>
  <c r="S24" i="4"/>
  <c r="T25" i="4" s="1"/>
  <c r="AM24" i="4"/>
  <c r="AN25" i="4" s="1"/>
  <c r="V24" i="4"/>
  <c r="W25" i="4" s="1"/>
  <c r="AJ24" i="4"/>
  <c r="AK25" i="4" s="1"/>
  <c r="U24" i="4"/>
  <c r="AL24" i="4"/>
  <c r="H25" i="4"/>
  <c r="I25" i="4" s="1"/>
  <c r="X24" i="4"/>
  <c r="AO24" i="4"/>
  <c r="I24" i="4"/>
  <c r="O24" i="4"/>
  <c r="K24" i="4"/>
  <c r="AF22" i="4"/>
  <c r="AG22" i="4"/>
  <c r="AP22" i="4" s="1"/>
  <c r="B28" i="4"/>
  <c r="N24" i="4"/>
  <c r="J24" i="4" s="1"/>
  <c r="A25" i="4"/>
  <c r="AE23" i="4"/>
  <c r="L23" i="4"/>
  <c r="M23" i="4"/>
  <c r="Y23" i="4" s="1"/>
  <c r="P24" i="4"/>
  <c r="Q24" i="4" s="1"/>
  <c r="G24" i="4"/>
  <c r="D25" i="4"/>
  <c r="AO25" i="4" l="1"/>
  <c r="AH25" i="4"/>
  <c r="AI25" i="4" s="1"/>
  <c r="H26" i="4"/>
  <c r="V25" i="4"/>
  <c r="W26" i="4" s="1"/>
  <c r="AM25" i="4"/>
  <c r="AN26" i="4" s="1"/>
  <c r="AJ25" i="4"/>
  <c r="AK26" i="4" s="1"/>
  <c r="S25" i="4"/>
  <c r="T26" i="4" s="1"/>
  <c r="U25" i="4"/>
  <c r="X25" i="4"/>
  <c r="AL25" i="4"/>
  <c r="O25" i="4"/>
  <c r="P25" i="4"/>
  <c r="Q25" i="4" s="1"/>
  <c r="B29" i="4"/>
  <c r="G25" i="4"/>
  <c r="K26" i="4" s="1"/>
  <c r="D26" i="4"/>
  <c r="K25" i="4"/>
  <c r="A26" i="4"/>
  <c r="N25" i="4"/>
  <c r="J25" i="4" s="1"/>
  <c r="AE24" i="4"/>
  <c r="L24" i="4"/>
  <c r="M24" i="4"/>
  <c r="Y24" i="4" s="1"/>
  <c r="AG23" i="4"/>
  <c r="AP23" i="4" s="1"/>
  <c r="AF23" i="4"/>
  <c r="AH26" i="4" l="1"/>
  <c r="AI26" i="4" s="1"/>
  <c r="S26" i="4"/>
  <c r="T27" i="4" s="1"/>
  <c r="V26" i="4"/>
  <c r="W27" i="4" s="1"/>
  <c r="AJ26" i="4"/>
  <c r="AK27" i="4" s="1"/>
  <c r="AM26" i="4"/>
  <c r="AN27" i="4" s="1"/>
  <c r="AL26" i="4"/>
  <c r="U26" i="4"/>
  <c r="X26" i="4"/>
  <c r="H27" i="4"/>
  <c r="AO26" i="4"/>
  <c r="I26" i="4"/>
  <c r="O26" i="4"/>
  <c r="D27" i="4"/>
  <c r="G26" i="4"/>
  <c r="K27" i="4" s="1"/>
  <c r="B30" i="4"/>
  <c r="AE26" i="4"/>
  <c r="L26" i="4"/>
  <c r="A27" i="4"/>
  <c r="N26" i="4"/>
  <c r="M26" i="4" s="1"/>
  <c r="P26" i="4"/>
  <c r="Q26" i="4" s="1"/>
  <c r="AG24" i="4"/>
  <c r="AP24" i="4" s="1"/>
  <c r="AF24" i="4"/>
  <c r="AE25" i="4"/>
  <c r="L25" i="4"/>
  <c r="M25" i="4"/>
  <c r="Y25" i="4" s="1"/>
  <c r="AH27" i="4" l="1"/>
  <c r="AI27" i="4" s="1"/>
  <c r="H28" i="4"/>
  <c r="AM27" i="4"/>
  <c r="AN28" i="4" s="1"/>
  <c r="V27" i="4"/>
  <c r="W28" i="4" s="1"/>
  <c r="S27" i="4"/>
  <c r="T28" i="4" s="1"/>
  <c r="AJ27" i="4"/>
  <c r="AK28" i="4" s="1"/>
  <c r="AL27" i="4"/>
  <c r="X27" i="4"/>
  <c r="AO27" i="4"/>
  <c r="U27" i="4"/>
  <c r="J26" i="4"/>
  <c r="I27" i="4"/>
  <c r="O27" i="4"/>
  <c r="Y26" i="4"/>
  <c r="G27" i="4"/>
  <c r="D28" i="4"/>
  <c r="AE27" i="4"/>
  <c r="L27" i="4"/>
  <c r="B31" i="4"/>
  <c r="P27" i="4"/>
  <c r="Q27" i="4" s="1"/>
  <c r="AF25" i="4"/>
  <c r="AG25" i="4"/>
  <c r="AP25" i="4" s="1"/>
  <c r="A28" i="4"/>
  <c r="N27" i="4"/>
  <c r="M27" i="4" s="1"/>
  <c r="AG26" i="4"/>
  <c r="AP26" i="4" s="1"/>
  <c r="AF26" i="4"/>
  <c r="AH28" i="4" l="1"/>
  <c r="AI28" i="4" s="1"/>
  <c r="H29" i="4"/>
  <c r="AM28" i="4"/>
  <c r="AN29" i="4" s="1"/>
  <c r="V28" i="4"/>
  <c r="W29" i="4" s="1"/>
  <c r="AJ28" i="4"/>
  <c r="AK29" i="4" s="1"/>
  <c r="S28" i="4"/>
  <c r="T29" i="4" s="1"/>
  <c r="AO28" i="4"/>
  <c r="AL28" i="4"/>
  <c r="J27" i="4"/>
  <c r="U28" i="4"/>
  <c r="X28" i="4"/>
  <c r="O28" i="4"/>
  <c r="I28" i="4"/>
  <c r="Y27" i="4"/>
  <c r="B32" i="4"/>
  <c r="P28" i="4"/>
  <c r="Q28" i="4" s="1"/>
  <c r="AF27" i="4"/>
  <c r="AG27" i="4"/>
  <c r="AP27" i="4" s="1"/>
  <c r="K28" i="4"/>
  <c r="N28" i="4"/>
  <c r="J28" i="4" s="1"/>
  <c r="A29" i="4"/>
  <c r="D29" i="4"/>
  <c r="G28" i="4"/>
  <c r="AH29" i="4" l="1"/>
  <c r="AI29" i="4" s="1"/>
  <c r="AO29" i="4"/>
  <c r="AM29" i="4"/>
  <c r="AN30" i="4" s="1"/>
  <c r="V29" i="4"/>
  <c r="W30" i="4" s="1"/>
  <c r="AJ29" i="4"/>
  <c r="AK30" i="4" s="1"/>
  <c r="S29" i="4"/>
  <c r="T30" i="4" s="1"/>
  <c r="U29" i="4"/>
  <c r="H30" i="4"/>
  <c r="AL29" i="4"/>
  <c r="X29" i="4"/>
  <c r="O29" i="4"/>
  <c r="I29" i="4"/>
  <c r="B33" i="4"/>
  <c r="P29" i="4"/>
  <c r="Q29" i="4" s="1"/>
  <c r="AE28" i="4"/>
  <c r="L28" i="4"/>
  <c r="M28" i="4"/>
  <c r="Y28" i="4" s="1"/>
  <c r="D30" i="4"/>
  <c r="G29" i="4"/>
  <c r="K29" i="4"/>
  <c r="A30" i="4"/>
  <c r="N29" i="4"/>
  <c r="J29" i="4" s="1"/>
  <c r="AH30" i="4" l="1"/>
  <c r="AI30" i="4" s="1"/>
  <c r="AM30" i="4"/>
  <c r="AN31" i="4" s="1"/>
  <c r="V30" i="4"/>
  <c r="W31" i="4" s="1"/>
  <c r="AJ30" i="4"/>
  <c r="AK31" i="4" s="1"/>
  <c r="S30" i="4"/>
  <c r="T31" i="4" s="1"/>
  <c r="H31" i="4"/>
  <c r="AL30" i="4"/>
  <c r="X30" i="4"/>
  <c r="U30" i="4"/>
  <c r="AO30" i="4"/>
  <c r="O30" i="4"/>
  <c r="I30" i="4"/>
  <c r="D31" i="4"/>
  <c r="G30" i="4"/>
  <c r="AG28" i="4"/>
  <c r="AP28" i="4" s="1"/>
  <c r="AF28" i="4"/>
  <c r="P30" i="4"/>
  <c r="Q30" i="4" s="1"/>
  <c r="A31" i="4"/>
  <c r="N30" i="4"/>
  <c r="J30" i="4" s="1"/>
  <c r="AE29" i="4"/>
  <c r="L29" i="4"/>
  <c r="M29" i="4"/>
  <c r="Y29" i="4" s="1"/>
  <c r="B34" i="4"/>
  <c r="K30" i="4"/>
  <c r="AH31" i="4" l="1"/>
  <c r="AI31" i="4" s="1"/>
  <c r="V31" i="4"/>
  <c r="W32" i="4" s="1"/>
  <c r="AJ31" i="4"/>
  <c r="AK32" i="4" s="1"/>
  <c r="AM31" i="4"/>
  <c r="AN32" i="4" s="1"/>
  <c r="S31" i="4"/>
  <c r="T32" i="4" s="1"/>
  <c r="H32" i="4"/>
  <c r="AL31" i="4"/>
  <c r="U31" i="4"/>
  <c r="AO31" i="4"/>
  <c r="X31" i="4"/>
  <c r="I31" i="4"/>
  <c r="O31" i="4"/>
  <c r="N31" i="4"/>
  <c r="J31" i="4" s="1"/>
  <c r="A32" i="4"/>
  <c r="P31" i="4"/>
  <c r="Q31" i="4" s="1"/>
  <c r="D32" i="4"/>
  <c r="G31" i="4"/>
  <c r="AE30" i="4"/>
  <c r="L30" i="4"/>
  <c r="M30" i="4"/>
  <c r="Y30" i="4" s="1"/>
  <c r="B35" i="4"/>
  <c r="AF29" i="4"/>
  <c r="AG29" i="4"/>
  <c r="AP29" i="4" s="1"/>
  <c r="K31" i="4"/>
  <c r="AH32" i="4" l="1"/>
  <c r="AI32" i="4" s="1"/>
  <c r="AJ32" i="4"/>
  <c r="AK33" i="4" s="1"/>
  <c r="S32" i="4"/>
  <c r="T33" i="4" s="1"/>
  <c r="V32" i="4"/>
  <c r="W33" i="4" s="1"/>
  <c r="AM32" i="4"/>
  <c r="AN33" i="4" s="1"/>
  <c r="AO32" i="4"/>
  <c r="AL32" i="4"/>
  <c r="U32" i="4"/>
  <c r="H33" i="4"/>
  <c r="X32" i="4"/>
  <c r="O32" i="4"/>
  <c r="I32" i="4"/>
  <c r="G32" i="4"/>
  <c r="D33" i="4"/>
  <c r="AE31" i="4"/>
  <c r="L31" i="4"/>
  <c r="M31" i="4"/>
  <c r="Y31" i="4" s="1"/>
  <c r="B36" i="4"/>
  <c r="K32" i="4"/>
  <c r="N32" i="4"/>
  <c r="J32" i="4" s="1"/>
  <c r="A33" i="4"/>
  <c r="AF30" i="4"/>
  <c r="AG30" i="4"/>
  <c r="AP30" i="4" s="1"/>
  <c r="P32" i="4"/>
  <c r="Q32" i="4" s="1"/>
  <c r="AH33" i="4" l="1"/>
  <c r="AI33" i="4" s="1"/>
  <c r="AL33" i="4"/>
  <c r="S33" i="4"/>
  <c r="T34" i="4" s="1"/>
  <c r="AM33" i="4"/>
  <c r="AN34" i="4" s="1"/>
  <c r="AJ33" i="4"/>
  <c r="AK34" i="4" s="1"/>
  <c r="V33" i="4"/>
  <c r="W34" i="4" s="1"/>
  <c r="X33" i="4"/>
  <c r="H34" i="4"/>
  <c r="U33" i="4"/>
  <c r="AO33" i="4"/>
  <c r="I33" i="4"/>
  <c r="O33" i="4"/>
  <c r="K33" i="4"/>
  <c r="D34" i="4"/>
  <c r="G33" i="4"/>
  <c r="B37" i="4"/>
  <c r="N33" i="4"/>
  <c r="J33" i="4" s="1"/>
  <c r="A34" i="4"/>
  <c r="AG31" i="4"/>
  <c r="AP31" i="4" s="1"/>
  <c r="AF31" i="4"/>
  <c r="P33" i="4"/>
  <c r="Q33" i="4" s="1"/>
  <c r="AE32" i="4"/>
  <c r="L32" i="4"/>
  <c r="M32" i="4"/>
  <c r="Y32" i="4" s="1"/>
  <c r="AH34" i="4" l="1"/>
  <c r="AI34" i="4" s="1"/>
  <c r="V34" i="4"/>
  <c r="W35" i="4" s="1"/>
  <c r="AJ34" i="4"/>
  <c r="AK35" i="4" s="1"/>
  <c r="AM34" i="4"/>
  <c r="AN35" i="4" s="1"/>
  <c r="S34" i="4"/>
  <c r="T35" i="4" s="1"/>
  <c r="H35" i="4"/>
  <c r="U34" i="4"/>
  <c r="X34" i="4"/>
  <c r="AO34" i="4"/>
  <c r="AL34" i="4"/>
  <c r="O34" i="4"/>
  <c r="I34" i="4"/>
  <c r="K34" i="4"/>
  <c r="A35" i="4"/>
  <c r="N34" i="4"/>
  <c r="J34" i="4" s="1"/>
  <c r="G34" i="4"/>
  <c r="K35" i="4" s="1"/>
  <c r="D35" i="4"/>
  <c r="B38" i="4"/>
  <c r="L33" i="4"/>
  <c r="AE33" i="4"/>
  <c r="M33" i="4"/>
  <c r="Y33" i="4" s="1"/>
  <c r="P34" i="4"/>
  <c r="Q34" i="4" s="1"/>
  <c r="AG32" i="4"/>
  <c r="AP32" i="4" s="1"/>
  <c r="AF32" i="4"/>
  <c r="AH35" i="4" l="1"/>
  <c r="AI35" i="4" s="1"/>
  <c r="S35" i="4"/>
  <c r="T36" i="4" s="1"/>
  <c r="V35" i="4"/>
  <c r="W36" i="4" s="1"/>
  <c r="AM35" i="4"/>
  <c r="AN36" i="4" s="1"/>
  <c r="AJ35" i="4"/>
  <c r="AK36" i="4" s="1"/>
  <c r="X35" i="4"/>
  <c r="AL35" i="4"/>
  <c r="U35" i="4"/>
  <c r="H36" i="4"/>
  <c r="AO35" i="4"/>
  <c r="O35" i="4"/>
  <c r="I35" i="4"/>
  <c r="P35" i="4"/>
  <c r="Q35" i="4" s="1"/>
  <c r="A36" i="4"/>
  <c r="N35" i="4"/>
  <c r="M35" i="4" s="1"/>
  <c r="AG33" i="4"/>
  <c r="AP33" i="4" s="1"/>
  <c r="AF33" i="4"/>
  <c r="AE35" i="4"/>
  <c r="L35" i="4"/>
  <c r="AE34" i="4"/>
  <c r="L34" i="4"/>
  <c r="M34" i="4"/>
  <c r="Y34" i="4" s="1"/>
  <c r="B39" i="4"/>
  <c r="D36" i="4"/>
  <c r="G35" i="4"/>
  <c r="AH36" i="4" l="1"/>
  <c r="AI36" i="4" s="1"/>
  <c r="AM36" i="4"/>
  <c r="AN37" i="4" s="1"/>
  <c r="V36" i="4"/>
  <c r="W37" i="4" s="1"/>
  <c r="AJ36" i="4"/>
  <c r="AK37" i="4" s="1"/>
  <c r="S36" i="4"/>
  <c r="T37" i="4" s="1"/>
  <c r="U36" i="4"/>
  <c r="AL36" i="4"/>
  <c r="AO36" i="4"/>
  <c r="X36" i="4"/>
  <c r="H37" i="4"/>
  <c r="J35" i="4"/>
  <c r="O36" i="4"/>
  <c r="I36" i="4"/>
  <c r="Y35" i="4"/>
  <c r="AF35" i="4"/>
  <c r="AG35" i="4"/>
  <c r="AP35" i="4" s="1"/>
  <c r="P36" i="4"/>
  <c r="Q36" i="4" s="1"/>
  <c r="B40" i="4"/>
  <c r="D37" i="4"/>
  <c r="G36" i="4"/>
  <c r="K37" i="4" s="1"/>
  <c r="A37" i="4"/>
  <c r="N36" i="4"/>
  <c r="J36" i="4" s="1"/>
  <c r="K36" i="4"/>
  <c r="AG34" i="4"/>
  <c r="AP34" i="4" s="1"/>
  <c r="AF34" i="4"/>
  <c r="AH37" i="4" l="1"/>
  <c r="AI37" i="4" s="1"/>
  <c r="AM37" i="4"/>
  <c r="AN38" i="4" s="1"/>
  <c r="V37" i="4"/>
  <c r="W38" i="4" s="1"/>
  <c r="AJ37" i="4"/>
  <c r="AK38" i="4" s="1"/>
  <c r="S37" i="4"/>
  <c r="T38" i="4" s="1"/>
  <c r="U37" i="4"/>
  <c r="AO37" i="4"/>
  <c r="X37" i="4"/>
  <c r="H38" i="4"/>
  <c r="AL37" i="4"/>
  <c r="I37" i="4"/>
  <c r="O37" i="4"/>
  <c r="AE36" i="4"/>
  <c r="L36" i="4"/>
  <c r="M36" i="4"/>
  <c r="Y36" i="4" s="1"/>
  <c r="B41" i="4"/>
  <c r="A38" i="4"/>
  <c r="N37" i="4"/>
  <c r="M37" i="4" s="1"/>
  <c r="D38" i="4"/>
  <c r="G37" i="4"/>
  <c r="P37" i="4"/>
  <c r="Q37" i="4" s="1"/>
  <c r="AE37" i="4"/>
  <c r="L37" i="4"/>
  <c r="AH38" i="4" l="1"/>
  <c r="AI38" i="4" s="1"/>
  <c r="AM38" i="4"/>
  <c r="AN39" i="4" s="1"/>
  <c r="V38" i="4"/>
  <c r="W39" i="4" s="1"/>
  <c r="AJ38" i="4"/>
  <c r="AK39" i="4" s="1"/>
  <c r="S38" i="4"/>
  <c r="T39" i="4" s="1"/>
  <c r="AO38" i="4"/>
  <c r="U38" i="4"/>
  <c r="H39" i="4"/>
  <c r="X38" i="4"/>
  <c r="AL38" i="4"/>
  <c r="J37" i="4"/>
  <c r="O38" i="4"/>
  <c r="I38" i="4"/>
  <c r="Y37" i="4"/>
  <c r="B42" i="4"/>
  <c r="N38" i="4"/>
  <c r="J38" i="4" s="1"/>
  <c r="A39" i="4"/>
  <c r="D39" i="4"/>
  <c r="G38" i="4"/>
  <c r="K39" i="4" s="1"/>
  <c r="AF37" i="4"/>
  <c r="AG37" i="4"/>
  <c r="AP37" i="4" s="1"/>
  <c r="P38" i="4"/>
  <c r="Q38" i="4" s="1"/>
  <c r="K38" i="4"/>
  <c r="AG36" i="4"/>
  <c r="AP36" i="4" s="1"/>
  <c r="AF36" i="4"/>
  <c r="AH39" i="4" l="1"/>
  <c r="AI39" i="4" s="1"/>
  <c r="H40" i="4"/>
  <c r="AM39" i="4"/>
  <c r="AN40" i="4" s="1"/>
  <c r="S39" i="4"/>
  <c r="T40" i="4" s="1"/>
  <c r="V39" i="4"/>
  <c r="W40" i="4" s="1"/>
  <c r="AJ39" i="4"/>
  <c r="AK40" i="4" s="1"/>
  <c r="U39" i="4"/>
  <c r="X39" i="4"/>
  <c r="AO39" i="4"/>
  <c r="AL39" i="4"/>
  <c r="O39" i="4"/>
  <c r="I39" i="4"/>
  <c r="AE39" i="4"/>
  <c r="L39" i="4"/>
  <c r="P39" i="4"/>
  <c r="Q39" i="4" s="1"/>
  <c r="N39" i="4"/>
  <c r="M39" i="4" s="1"/>
  <c r="A40" i="4"/>
  <c r="AE38" i="4"/>
  <c r="L38" i="4"/>
  <c r="M38" i="4"/>
  <c r="Y38" i="4" s="1"/>
  <c r="G39" i="4"/>
  <c r="D40" i="4"/>
  <c r="B43" i="4"/>
  <c r="AH40" i="4" l="1"/>
  <c r="AI40" i="4" s="1"/>
  <c r="V40" i="4"/>
  <c r="W41" i="4" s="1"/>
  <c r="AJ40" i="4"/>
  <c r="AK41" i="4" s="1"/>
  <c r="S40" i="4"/>
  <c r="T41" i="4" s="1"/>
  <c r="AM40" i="4"/>
  <c r="AN41" i="4" s="1"/>
  <c r="H41" i="4"/>
  <c r="J39" i="4"/>
  <c r="AL40" i="4"/>
  <c r="AO40" i="4"/>
  <c r="U40" i="4"/>
  <c r="X40" i="4"/>
  <c r="I40" i="4"/>
  <c r="O40" i="4"/>
  <c r="K40" i="4"/>
  <c r="AG39" i="4"/>
  <c r="AP39" i="4" s="1"/>
  <c r="AF39" i="4"/>
  <c r="B44" i="4"/>
  <c r="N40" i="4"/>
  <c r="J40" i="4" s="1"/>
  <c r="A41" i="4"/>
  <c r="G40" i="4"/>
  <c r="K41" i="4" s="1"/>
  <c r="D41" i="4"/>
  <c r="AG38" i="4"/>
  <c r="AP38" i="4" s="1"/>
  <c r="AF38" i="4"/>
  <c r="P40" i="4"/>
  <c r="Q40" i="4" s="1"/>
  <c r="Y39" i="4"/>
  <c r="H42" i="4" l="1"/>
  <c r="AJ41" i="4"/>
  <c r="AK42" i="4" s="1"/>
  <c r="V41" i="4"/>
  <c r="W42" i="4" s="1"/>
  <c r="AM41" i="4"/>
  <c r="AN42" i="4" s="1"/>
  <c r="S41" i="4"/>
  <c r="T42" i="4" s="1"/>
  <c r="AH41" i="4"/>
  <c r="X41" i="4"/>
  <c r="U41" i="4"/>
  <c r="AO41" i="4"/>
  <c r="AL41" i="4"/>
  <c r="I41" i="4"/>
  <c r="O41" i="4"/>
  <c r="B45" i="4"/>
  <c r="AE41" i="4"/>
  <c r="L41" i="4"/>
  <c r="AE40" i="4"/>
  <c r="L40" i="4"/>
  <c r="M40" i="4"/>
  <c r="Y40" i="4" s="1"/>
  <c r="G41" i="4"/>
  <c r="D42" i="4"/>
  <c r="A42" i="4"/>
  <c r="N41" i="4"/>
  <c r="M41" i="4" s="1"/>
  <c r="P41" i="4"/>
  <c r="Q41" i="4" s="1"/>
  <c r="AM42" i="4" l="1"/>
  <c r="AN43" i="4" s="1"/>
  <c r="AJ42" i="4"/>
  <c r="AK43" i="4" s="1"/>
  <c r="S42" i="4"/>
  <c r="T43" i="4" s="1"/>
  <c r="V42" i="4"/>
  <c r="W43" i="4" s="1"/>
  <c r="AH42" i="4"/>
  <c r="AL42" i="4"/>
  <c r="AI41" i="4"/>
  <c r="J41" i="4"/>
  <c r="X42" i="4"/>
  <c r="H43" i="4"/>
  <c r="U42" i="4"/>
  <c r="AO42" i="4"/>
  <c r="I42" i="4"/>
  <c r="O42" i="4"/>
  <c r="Y41" i="4"/>
  <c r="AG41" i="4"/>
  <c r="AF41" i="4"/>
  <c r="G42" i="4"/>
  <c r="D43" i="4"/>
  <c r="P42" i="4"/>
  <c r="Q42" i="4" s="1"/>
  <c r="AG40" i="4"/>
  <c r="AP40" i="4" s="1"/>
  <c r="AF40" i="4"/>
  <c r="A43" i="4"/>
  <c r="N42" i="4"/>
  <c r="J42" i="4" s="1"/>
  <c r="K42" i="4"/>
  <c r="B46" i="4"/>
  <c r="H44" i="4" l="1"/>
  <c r="AJ43" i="4"/>
  <c r="AK44" i="4" s="1"/>
  <c r="AM43" i="4"/>
  <c r="AN44" i="4" s="1"/>
  <c r="S43" i="4"/>
  <c r="T44" i="4" s="1"/>
  <c r="V43" i="4"/>
  <c r="W44" i="4" s="1"/>
  <c r="AP41" i="4"/>
  <c r="AH43" i="4"/>
  <c r="AI42" i="4"/>
  <c r="U43" i="4"/>
  <c r="X43" i="4"/>
  <c r="AO43" i="4"/>
  <c r="AL43" i="4"/>
  <c r="O43" i="4"/>
  <c r="I43" i="4"/>
  <c r="AE42" i="4"/>
  <c r="L42" i="4"/>
  <c r="M42" i="4"/>
  <c r="Y42" i="4" s="1"/>
  <c r="A44" i="4"/>
  <c r="N43" i="4"/>
  <c r="J43" i="4" s="1"/>
  <c r="B47" i="4"/>
  <c r="K43" i="4"/>
  <c r="P43" i="4"/>
  <c r="Q43" i="4" s="1"/>
  <c r="D44" i="4"/>
  <c r="G43" i="4"/>
  <c r="A58" i="4" l="1"/>
  <c r="AC40" i="4" s="1"/>
  <c r="AM44" i="4"/>
  <c r="AN45" i="4" s="1"/>
  <c r="V44" i="4"/>
  <c r="W45" i="4" s="1"/>
  <c r="AJ44" i="4"/>
  <c r="AK45" i="4" s="1"/>
  <c r="S44" i="4"/>
  <c r="T45" i="4" s="1"/>
  <c r="AO44" i="4"/>
  <c r="AH44" i="4"/>
  <c r="AI44" i="4" s="1"/>
  <c r="AI43" i="4"/>
  <c r="U44" i="4"/>
  <c r="AL44" i="4"/>
  <c r="X44" i="4"/>
  <c r="H45" i="4"/>
  <c r="O44" i="4"/>
  <c r="I44" i="4"/>
  <c r="A45" i="4"/>
  <c r="N44" i="4"/>
  <c r="J44" i="4" s="1"/>
  <c r="B48" i="4"/>
  <c r="AG42" i="4"/>
  <c r="AP42" i="4" s="1"/>
  <c r="AF42" i="4"/>
  <c r="L43" i="4"/>
  <c r="AE43" i="4"/>
  <c r="M43" i="4"/>
  <c r="Y43" i="4" s="1"/>
  <c r="D45" i="4"/>
  <c r="G44" i="4"/>
  <c r="P44" i="4"/>
  <c r="Q44" i="4" s="1"/>
  <c r="K44" i="4"/>
  <c r="AC36" i="4" l="1"/>
  <c r="AB10" i="4"/>
  <c r="AB15" i="4"/>
  <c r="AB41" i="4"/>
  <c r="AB27" i="4"/>
  <c r="AA10" i="4"/>
  <c r="AA5" i="4"/>
  <c r="AA4" i="4"/>
  <c r="AC35" i="4"/>
  <c r="AA28" i="4"/>
  <c r="AA32" i="4"/>
  <c r="AC15" i="4"/>
  <c r="AA43" i="4"/>
  <c r="AB39" i="4"/>
  <c r="AC29" i="4"/>
  <c r="AC6" i="4"/>
  <c r="AC42" i="4"/>
  <c r="AC12" i="4"/>
  <c r="AB26" i="4"/>
  <c r="AB36" i="4"/>
  <c r="AA16" i="4"/>
  <c r="AC39" i="4"/>
  <c r="AC17" i="4"/>
  <c r="AB42" i="4"/>
  <c r="AC18" i="4"/>
  <c r="AB18" i="4"/>
  <c r="AB8" i="4"/>
  <c r="AC32" i="4"/>
  <c r="AC20" i="4"/>
  <c r="AA19" i="4"/>
  <c r="AA33" i="4"/>
  <c r="AC26" i="4"/>
  <c r="AB24" i="4"/>
  <c r="AC3" i="4"/>
  <c r="AA6" i="4"/>
  <c r="AC5" i="4"/>
  <c r="AC31" i="4"/>
  <c r="AB14" i="4"/>
  <c r="AA24" i="4"/>
  <c r="AA14" i="4"/>
  <c r="AA8" i="4"/>
  <c r="AB23" i="4"/>
  <c r="AB4" i="4"/>
  <c r="AA20" i="4"/>
  <c r="AA15" i="4"/>
  <c r="AC11" i="4"/>
  <c r="AA40" i="4"/>
  <c r="AC37" i="4"/>
  <c r="AA36" i="4"/>
  <c r="AC14" i="4"/>
  <c r="AB7" i="4"/>
  <c r="AA27" i="4"/>
  <c r="AB9" i="4"/>
  <c r="AC33" i="4"/>
  <c r="AB31" i="4"/>
  <c r="AC23" i="4"/>
  <c r="AA3" i="4"/>
  <c r="AA17" i="4"/>
  <c r="AC9" i="4"/>
  <c r="AB3" i="4"/>
  <c r="AA35" i="4"/>
  <c r="AB40" i="4"/>
  <c r="AA37" i="4"/>
  <c r="AB34" i="4"/>
  <c r="AA29" i="4"/>
  <c r="AB12" i="4"/>
  <c r="AC10" i="4"/>
  <c r="AC28" i="4"/>
  <c r="AA30" i="4"/>
  <c r="AA18" i="4"/>
  <c r="AB35" i="4"/>
  <c r="AC24" i="4"/>
  <c r="AB22" i="4"/>
  <c r="AC27" i="4"/>
  <c r="AB25" i="4"/>
  <c r="AA42" i="4"/>
  <c r="AA39" i="4"/>
  <c r="AB38" i="4"/>
  <c r="AA25" i="4"/>
  <c r="AC7" i="4"/>
  <c r="AB32" i="4"/>
  <c r="AA7" i="4"/>
  <c r="AC8" i="4"/>
  <c r="AB16" i="4"/>
  <c r="AB21" i="4"/>
  <c r="AB19" i="4"/>
  <c r="AB17" i="4"/>
  <c r="AB20" i="4"/>
  <c r="AA13" i="4"/>
  <c r="AC19" i="4"/>
  <c r="AC41" i="4"/>
  <c r="AC38" i="4"/>
  <c r="AA9" i="4"/>
  <c r="AB5" i="4"/>
  <c r="AC13" i="4"/>
  <c r="AC25" i="4"/>
  <c r="AA34" i="4"/>
  <c r="AC4" i="4"/>
  <c r="AA22" i="4"/>
  <c r="AA21" i="4"/>
  <c r="AA12" i="4"/>
  <c r="AB13" i="4"/>
  <c r="AB28" i="4"/>
  <c r="AB37" i="4"/>
  <c r="AC22" i="4"/>
  <c r="AB43" i="4"/>
  <c r="AB44" i="4"/>
  <c r="AA41" i="4"/>
  <c r="AA38" i="4"/>
  <c r="AC30" i="4"/>
  <c r="AA31" i="4"/>
  <c r="AB33" i="4"/>
  <c r="AA23" i="4"/>
  <c r="AC16" i="4"/>
  <c r="AA26" i="4"/>
  <c r="AB6" i="4"/>
  <c r="AB30" i="4"/>
  <c r="AA11" i="4"/>
  <c r="AC34" i="4"/>
  <c r="AC21" i="4"/>
  <c r="AB29" i="4"/>
  <c r="AB11" i="4"/>
  <c r="AH45" i="4"/>
  <c r="AI45" i="4" s="1"/>
  <c r="AM45" i="4"/>
  <c r="AN46" i="4" s="1"/>
  <c r="V45" i="4"/>
  <c r="W46" i="4" s="1"/>
  <c r="AJ45" i="4"/>
  <c r="AK46" i="4" s="1"/>
  <c r="S45" i="4"/>
  <c r="T46" i="4" s="1"/>
  <c r="AO45" i="4"/>
  <c r="U45" i="4"/>
  <c r="AL45" i="4"/>
  <c r="H46" i="4"/>
  <c r="I46" i="4" s="1"/>
  <c r="X45" i="4"/>
  <c r="I45" i="4"/>
  <c r="O45" i="4"/>
  <c r="AF43" i="4"/>
  <c r="AG43" i="4"/>
  <c r="AP43" i="4" s="1"/>
  <c r="AC43" i="4" s="1"/>
  <c r="AE44" i="4"/>
  <c r="L44" i="4"/>
  <c r="M44" i="4"/>
  <c r="Y44" i="4" s="1"/>
  <c r="AA44" i="4" s="1"/>
  <c r="K45" i="4"/>
  <c r="A46" i="4"/>
  <c r="N45" i="4"/>
  <c r="J45" i="4" s="1"/>
  <c r="B49" i="4"/>
  <c r="P45" i="4"/>
  <c r="Q45" i="4" s="1"/>
  <c r="AB45" i="4" s="1"/>
  <c r="D46" i="4"/>
  <c r="G45" i="4"/>
  <c r="K46" i="4" s="1"/>
  <c r="AH46" i="4" l="1"/>
  <c r="AI46" i="4" s="1"/>
  <c r="H47" i="4"/>
  <c r="AM46" i="4"/>
  <c r="AN47" i="4" s="1"/>
  <c r="V46" i="4"/>
  <c r="W47" i="4" s="1"/>
  <c r="AJ46" i="4"/>
  <c r="AK47" i="4" s="1"/>
  <c r="S46" i="4"/>
  <c r="T47" i="4" s="1"/>
  <c r="AL46" i="4"/>
  <c r="AO46" i="4"/>
  <c r="X46" i="4"/>
  <c r="U46" i="4"/>
  <c r="O46" i="4"/>
  <c r="AE46" i="4"/>
  <c r="L46" i="4"/>
  <c r="AE45" i="4"/>
  <c r="L45" i="4"/>
  <c r="M45" i="4"/>
  <c r="Y45" i="4" s="1"/>
  <c r="AA45" i="4" s="1"/>
  <c r="N46" i="4"/>
  <c r="A47" i="4"/>
  <c r="P46" i="4"/>
  <c r="Q46" i="4" s="1"/>
  <c r="AB46" i="4" s="1"/>
  <c r="AG44" i="4"/>
  <c r="AP44" i="4" s="1"/>
  <c r="AC44" i="4" s="1"/>
  <c r="AF44" i="4"/>
  <c r="D47" i="4"/>
  <c r="G46" i="4"/>
  <c r="K47" i="4" s="1"/>
  <c r="B50" i="4"/>
  <c r="AH47" i="4" l="1"/>
  <c r="AI47" i="4" s="1"/>
  <c r="H48" i="4"/>
  <c r="V47" i="4"/>
  <c r="W48" i="4" s="1"/>
  <c r="AJ47" i="4"/>
  <c r="AK48" i="4" s="1"/>
  <c r="AM47" i="4"/>
  <c r="AN48" i="4" s="1"/>
  <c r="S47" i="4"/>
  <c r="T48" i="4" s="1"/>
  <c r="AL47" i="4"/>
  <c r="M46" i="4"/>
  <c r="Y46" i="4" s="1"/>
  <c r="AA46" i="4" s="1"/>
  <c r="J46" i="4"/>
  <c r="U47" i="4"/>
  <c r="AO47" i="4"/>
  <c r="X47" i="4"/>
  <c r="O47" i="4"/>
  <c r="I47" i="4"/>
  <c r="AE47" i="4"/>
  <c r="L47" i="4"/>
  <c r="AF45" i="4"/>
  <c r="AG45" i="4"/>
  <c r="AP45" i="4" s="1"/>
  <c r="AC45" i="4" s="1"/>
  <c r="P47" i="4"/>
  <c r="Q47" i="4" s="1"/>
  <c r="AB47" i="4" s="1"/>
  <c r="N47" i="4"/>
  <c r="M47" i="4" s="1"/>
  <c r="A48" i="4"/>
  <c r="AG46" i="4"/>
  <c r="AP46" i="4" s="1"/>
  <c r="AC46" i="4" s="1"/>
  <c r="AF46" i="4"/>
  <c r="G47" i="4"/>
  <c r="D48" i="4"/>
  <c r="AH48" i="4" l="1"/>
  <c r="AI48" i="4" s="1"/>
  <c r="V48" i="4"/>
  <c r="W49" i="4" s="1"/>
  <c r="AJ48" i="4"/>
  <c r="AK49" i="4" s="1"/>
  <c r="AM48" i="4"/>
  <c r="AN49" i="4" s="1"/>
  <c r="S48" i="4"/>
  <c r="T49" i="4" s="1"/>
  <c r="AL48" i="4"/>
  <c r="U48" i="4"/>
  <c r="H49" i="4"/>
  <c r="J47" i="4"/>
  <c r="X48" i="4"/>
  <c r="AO48" i="4"/>
  <c r="O48" i="4"/>
  <c r="I48" i="4"/>
  <c r="N48" i="4"/>
  <c r="J48" i="4" s="1"/>
  <c r="A49" i="4"/>
  <c r="Y47" i="4"/>
  <c r="AA47" i="4" s="1"/>
  <c r="AG47" i="4"/>
  <c r="AP47" i="4" s="1"/>
  <c r="AC47" i="4" s="1"/>
  <c r="AF47" i="4"/>
  <c r="P48" i="4"/>
  <c r="Q48" i="4" s="1"/>
  <c r="AB48" i="4" s="1"/>
  <c r="G48" i="4"/>
  <c r="K49" i="4" s="1"/>
  <c r="D49" i="4"/>
  <c r="K48" i="4"/>
  <c r="AH49" i="4" l="1"/>
  <c r="AI49" i="4" s="1"/>
  <c r="H50" i="4"/>
  <c r="V49" i="4"/>
  <c r="W50" i="4" s="1"/>
  <c r="AM49" i="4"/>
  <c r="AN50" i="4" s="1"/>
  <c r="AJ49" i="4"/>
  <c r="AK50" i="4" s="1"/>
  <c r="S49" i="4"/>
  <c r="T50" i="4" s="1"/>
  <c r="U49" i="4"/>
  <c r="X49" i="4"/>
  <c r="AL49" i="4"/>
  <c r="AO49" i="4"/>
  <c r="O49" i="4"/>
  <c r="I49" i="4"/>
  <c r="AE49" i="4"/>
  <c r="L49" i="4"/>
  <c r="A50" i="4"/>
  <c r="N50" i="4" s="1"/>
  <c r="N49" i="4"/>
  <c r="M49" i="4" s="1"/>
  <c r="P49" i="4"/>
  <c r="Q49" i="4" s="1"/>
  <c r="AB49" i="4" s="1"/>
  <c r="AE48" i="4"/>
  <c r="L48" i="4"/>
  <c r="M48" i="4"/>
  <c r="Y48" i="4" s="1"/>
  <c r="AA48" i="4" s="1"/>
  <c r="G49" i="4"/>
  <c r="K50" i="4" s="1"/>
  <c r="D50" i="4"/>
  <c r="AH50" i="4" l="1"/>
  <c r="AI50" i="4" s="1"/>
  <c r="S50" i="4"/>
  <c r="AJ50" i="4"/>
  <c r="AM50" i="4"/>
  <c r="V50" i="4"/>
  <c r="U50" i="4"/>
  <c r="AO50" i="4"/>
  <c r="X50" i="4"/>
  <c r="AL50" i="4"/>
  <c r="J49" i="4"/>
  <c r="O50" i="4"/>
  <c r="I50" i="4"/>
  <c r="J50" i="4"/>
  <c r="Y49" i="4"/>
  <c r="AA49" i="4" s="1"/>
  <c r="AE50" i="4"/>
  <c r="L50" i="4"/>
  <c r="M50" i="4"/>
  <c r="AG48" i="4"/>
  <c r="AP48" i="4" s="1"/>
  <c r="AC48" i="4" s="1"/>
  <c r="AF48" i="4"/>
  <c r="P50" i="4"/>
  <c r="G50" i="4"/>
  <c r="AG49" i="4"/>
  <c r="AP49" i="4" s="1"/>
  <c r="AC49" i="4" s="1"/>
  <c r="AF49" i="4"/>
  <c r="Q50" i="4" l="1"/>
  <c r="AB50" i="4" s="1"/>
  <c r="Y50" i="4"/>
  <c r="AA50" i="4" s="1"/>
  <c r="AG50" i="4"/>
  <c r="AP50" i="4" s="1"/>
  <c r="AC50" i="4" s="1"/>
  <c r="AF50" i="4"/>
  <c r="K2" i="2" l="1"/>
  <c r="C49" i="3"/>
  <c r="D47" i="3"/>
  <c r="E46" i="3"/>
  <c r="C45" i="3"/>
  <c r="D10" i="3"/>
  <c r="D7" i="2"/>
  <c r="Q3" i="2"/>
  <c r="I7" i="2"/>
  <c r="L3" i="2"/>
  <c r="A9" i="2"/>
  <c r="M3" i="2" l="1"/>
  <c r="N3" i="2"/>
  <c r="S3" i="2" l="1"/>
  <c r="Q4" i="2"/>
  <c r="L4" i="2"/>
  <c r="M4" i="2"/>
  <c r="R3" i="2"/>
  <c r="L5" i="2" l="1"/>
  <c r="M5" i="2"/>
  <c r="Q5" i="2"/>
  <c r="R4" i="2"/>
  <c r="O3" i="2"/>
  <c r="N4" i="2"/>
  <c r="P3" i="2"/>
  <c r="S4" i="2"/>
  <c r="L6" i="2" l="1"/>
  <c r="Q6" i="2"/>
  <c r="R5" i="2"/>
  <c r="M6" i="2"/>
  <c r="N5" i="2"/>
  <c r="O4" i="2"/>
  <c r="P4" i="2"/>
  <c r="S5" i="2"/>
  <c r="L7" i="2" l="1"/>
  <c r="R6" i="2"/>
  <c r="O5" i="2"/>
  <c r="M7" i="2"/>
  <c r="P5" i="2"/>
  <c r="S6" i="2"/>
  <c r="Q7" i="2"/>
  <c r="N6" i="2"/>
  <c r="L8" i="2" l="1"/>
  <c r="O6" i="2"/>
  <c r="R7" i="2"/>
  <c r="M8" i="2"/>
  <c r="Q8" i="2"/>
  <c r="S7" i="2"/>
  <c r="P6" i="2"/>
  <c r="L9" i="2" l="1"/>
  <c r="S8" i="2"/>
  <c r="O7" i="2"/>
  <c r="R8" i="2"/>
  <c r="M9" i="2"/>
  <c r="P7" i="2"/>
  <c r="Q9" i="2"/>
  <c r="N7" i="2"/>
  <c r="L10" i="2" l="1"/>
  <c r="S9" i="2"/>
  <c r="O8" i="2"/>
  <c r="R9" i="2"/>
  <c r="M10" i="2"/>
  <c r="N8" i="2"/>
  <c r="Q10" i="2"/>
  <c r="P8" i="2"/>
  <c r="S10" i="2" l="1"/>
  <c r="R10" i="2"/>
  <c r="O9" i="2"/>
  <c r="N9" i="2"/>
  <c r="P9" i="2"/>
  <c r="O10" i="2" l="1"/>
  <c r="M11" i="2"/>
  <c r="N10" i="2"/>
  <c r="L11" i="2"/>
  <c r="Q11" i="2"/>
  <c r="P10" i="2"/>
  <c r="L12" i="2" l="1"/>
  <c r="S11" i="2"/>
  <c r="R11" i="2"/>
  <c r="M12" i="2"/>
  <c r="Q12" i="2"/>
  <c r="L13" i="2" l="1"/>
  <c r="S12" i="2"/>
  <c r="O11" i="2"/>
  <c r="R12" i="2"/>
  <c r="M13" i="2"/>
  <c r="N11" i="2"/>
  <c r="Q13" i="2"/>
  <c r="P11" i="2"/>
  <c r="L14" i="2" l="1"/>
  <c r="S13" i="2"/>
  <c r="O12" i="2"/>
  <c r="R13" i="2"/>
  <c r="M14" i="2"/>
  <c r="N12" i="2"/>
  <c r="Q14" i="2"/>
  <c r="N13" i="2"/>
  <c r="P12" i="2"/>
  <c r="L15" i="2" l="1"/>
  <c r="O13" i="2"/>
  <c r="R14" i="2"/>
  <c r="M15" i="2"/>
  <c r="Q15" i="2"/>
  <c r="P13" i="2"/>
  <c r="S14" i="2"/>
  <c r="L16" i="2" l="1"/>
  <c r="R15" i="2"/>
  <c r="O14" i="2"/>
  <c r="M16" i="2"/>
  <c r="N14" i="2"/>
  <c r="Q16" i="2"/>
  <c r="P14" i="2"/>
  <c r="S15" i="2"/>
  <c r="L17" i="2" l="1"/>
  <c r="O15" i="2"/>
  <c r="R16" i="2"/>
  <c r="M17" i="2"/>
  <c r="N15" i="2"/>
  <c r="Q17" i="2"/>
  <c r="P15" i="2"/>
  <c r="S16" i="2"/>
  <c r="L18" i="2" l="1"/>
  <c r="O16" i="2"/>
  <c r="R17" i="2"/>
  <c r="M18" i="2"/>
  <c r="Q18" i="2"/>
  <c r="N16" i="2"/>
  <c r="P16" i="2"/>
  <c r="S17" i="2"/>
  <c r="L19" i="2" l="1"/>
  <c r="O17" i="2"/>
  <c r="M19" i="2"/>
  <c r="N17" i="2"/>
  <c r="Q19" i="2"/>
  <c r="P17" i="2"/>
  <c r="S18" i="2"/>
  <c r="L20" i="2" l="1"/>
  <c r="S19" i="2"/>
  <c r="O18" i="2"/>
  <c r="R18" i="2"/>
  <c r="R19" i="2"/>
  <c r="M20" i="2"/>
  <c r="N18" i="2"/>
  <c r="Q20" i="2"/>
  <c r="N19" i="2"/>
  <c r="P18" i="2"/>
  <c r="L21" i="2" l="1"/>
  <c r="S20" i="2"/>
  <c r="R20" i="2"/>
  <c r="O19" i="2"/>
  <c r="M21" i="2"/>
  <c r="Q21" i="2"/>
  <c r="N20" i="2"/>
  <c r="P19" i="2"/>
  <c r="L22" i="2" l="1"/>
  <c r="S21" i="2"/>
  <c r="O20" i="2"/>
  <c r="Q22" i="2"/>
  <c r="R21" i="2"/>
  <c r="M22" i="2"/>
  <c r="P20" i="2"/>
  <c r="N21" i="2"/>
  <c r="L23" i="2" l="1"/>
  <c r="S22" i="2"/>
  <c r="O21" i="2"/>
  <c r="R22" i="2"/>
  <c r="M23" i="2"/>
  <c r="P21" i="2"/>
  <c r="N22" i="2"/>
  <c r="L25" i="2" l="1"/>
  <c r="L24" i="2"/>
  <c r="Q24" i="2"/>
  <c r="Q23" i="2"/>
  <c r="O22" i="2"/>
  <c r="R23" i="2"/>
  <c r="M24" i="2"/>
  <c r="S23" i="2"/>
  <c r="P22" i="2"/>
  <c r="L26" i="2" l="1"/>
  <c r="S24" i="2"/>
  <c r="R24" i="2"/>
  <c r="N23" i="2"/>
  <c r="Q25" i="2"/>
  <c r="O23" i="2"/>
  <c r="M25" i="2"/>
  <c r="P23" i="2"/>
  <c r="N24" i="2"/>
  <c r="L27" i="2" l="1"/>
  <c r="R25" i="2"/>
  <c r="Q26" i="2"/>
  <c r="O24" i="2"/>
  <c r="M26" i="2"/>
  <c r="P24" i="2"/>
  <c r="N25" i="2"/>
  <c r="S25" i="2"/>
  <c r="L28" i="2" l="1"/>
  <c r="Q27" i="2"/>
  <c r="S26" i="2"/>
  <c r="R26" i="2"/>
  <c r="O25" i="2"/>
  <c r="M27" i="2"/>
  <c r="N26" i="2"/>
  <c r="P25" i="2"/>
  <c r="L29" i="2" l="1"/>
  <c r="S27" i="2"/>
  <c r="R27" i="2"/>
  <c r="Q28" i="2"/>
  <c r="O26" i="2"/>
  <c r="M28" i="2"/>
  <c r="P26" i="2"/>
  <c r="N27" i="2"/>
  <c r="L30" i="2" l="1"/>
  <c r="S28" i="2"/>
  <c r="R28" i="2"/>
  <c r="Q29" i="2"/>
  <c r="O27" i="2"/>
  <c r="M29" i="2"/>
  <c r="N28" i="2"/>
  <c r="P27" i="2"/>
  <c r="L31" i="2" l="1"/>
  <c r="S29" i="2"/>
  <c r="R29" i="2"/>
  <c r="Q30" i="2"/>
  <c r="O28" i="2"/>
  <c r="M30" i="2"/>
  <c r="N29" i="2"/>
  <c r="P28" i="2"/>
  <c r="R30" i="2" l="1"/>
  <c r="Q31" i="2"/>
  <c r="O29" i="2"/>
  <c r="M31" i="2"/>
  <c r="L32" i="2"/>
  <c r="P29" i="2"/>
  <c r="N30" i="2"/>
  <c r="S30" i="2"/>
  <c r="Q32" i="2"/>
  <c r="S31" i="2" l="1"/>
  <c r="R31" i="2"/>
  <c r="O30" i="2"/>
  <c r="M32" i="2"/>
  <c r="L33" i="2"/>
  <c r="P30" i="2"/>
  <c r="N31" i="2"/>
  <c r="R32" i="2" l="1"/>
  <c r="S32" i="2"/>
  <c r="Q33" i="2"/>
  <c r="O31" i="2"/>
  <c r="M33" i="2"/>
  <c r="L34" i="2"/>
  <c r="N32" i="2"/>
  <c r="P31" i="2"/>
  <c r="Q34" i="2"/>
  <c r="R33" i="2" l="1"/>
  <c r="S33" i="2"/>
  <c r="O32" i="2"/>
  <c r="M34" i="2"/>
  <c r="L35" i="2"/>
  <c r="N33" i="2"/>
  <c r="P32" i="2"/>
  <c r="R34" i="2" l="1"/>
  <c r="O33" i="2"/>
  <c r="M35" i="2"/>
  <c r="L36" i="2"/>
  <c r="P33" i="2"/>
  <c r="N34" i="2"/>
  <c r="L37" i="2" l="1"/>
  <c r="N35" i="2"/>
  <c r="Q35" i="2"/>
  <c r="O34" i="2"/>
  <c r="M36" i="2"/>
  <c r="S34" i="2"/>
  <c r="O35" i="2" l="1"/>
  <c r="R35" i="2"/>
  <c r="N36" i="2"/>
  <c r="Q36" i="2"/>
  <c r="M37" i="2"/>
  <c r="P34" i="2"/>
  <c r="L38" i="2"/>
  <c r="L39" i="2" l="1"/>
  <c r="O36" i="2"/>
  <c r="R36" i="2"/>
  <c r="N37" i="2"/>
  <c r="Q37" i="2"/>
  <c r="P35" i="2"/>
  <c r="S35" i="2"/>
  <c r="M38" i="2"/>
  <c r="L40" i="2" l="1"/>
  <c r="O37" i="2"/>
  <c r="R37" i="2"/>
  <c r="P37" i="2"/>
  <c r="S37" i="2"/>
  <c r="N38" i="2"/>
  <c r="Q38" i="2"/>
  <c r="P36" i="2"/>
  <c r="S36" i="2"/>
  <c r="Q39" i="2"/>
  <c r="M39" i="2"/>
  <c r="L41" i="2" l="1"/>
  <c r="O38" i="2"/>
  <c r="R38" i="2"/>
  <c r="Q40" i="2"/>
  <c r="R39" i="2"/>
  <c r="M40" i="2"/>
  <c r="N39" i="2"/>
  <c r="S38" i="2"/>
  <c r="D8" i="2"/>
  <c r="I6" i="2"/>
  <c r="D5" i="2"/>
  <c r="Q41" i="2" l="1"/>
  <c r="L42" i="2"/>
  <c r="O39" i="2"/>
  <c r="N40" i="2"/>
  <c r="M41" i="2"/>
  <c r="P38" i="2"/>
  <c r="L43" i="2" l="1"/>
  <c r="P39" i="2"/>
  <c r="S39" i="2"/>
  <c r="O40" i="2"/>
  <c r="R40" i="2"/>
  <c r="Q42" i="2"/>
  <c r="N41" i="2"/>
  <c r="M42" i="2"/>
  <c r="S40" i="2"/>
  <c r="S41" i="2"/>
  <c r="Q43" i="2" l="1"/>
  <c r="O41" i="2"/>
  <c r="R41" i="2"/>
  <c r="L44" i="2"/>
  <c r="N42" i="2"/>
  <c r="P41" i="2"/>
  <c r="P40" i="2"/>
  <c r="M43" i="2"/>
  <c r="L45" i="2" l="1"/>
  <c r="O42" i="2"/>
  <c r="R42" i="2"/>
  <c r="Q44" i="2"/>
  <c r="N43" i="2"/>
  <c r="M44" i="2"/>
  <c r="S42" i="2"/>
  <c r="L46" i="2" l="1"/>
  <c r="O43" i="2"/>
  <c r="R43" i="2"/>
  <c r="Q45" i="2"/>
  <c r="N44" i="2"/>
  <c r="P42" i="2"/>
  <c r="M45" i="2"/>
  <c r="S43" i="2"/>
  <c r="L47" i="2" l="1"/>
  <c r="O44" i="2"/>
  <c r="R44" i="2"/>
  <c r="Q46" i="2"/>
  <c r="M46" i="2"/>
  <c r="P43" i="2"/>
  <c r="N45" i="2"/>
  <c r="S44" i="2"/>
  <c r="L48" i="2" l="1"/>
  <c r="O45" i="2"/>
  <c r="R45" i="2"/>
  <c r="Q47" i="2"/>
  <c r="N46" i="2"/>
  <c r="M47" i="2"/>
  <c r="P44" i="2"/>
  <c r="S45" i="2"/>
  <c r="L49" i="2" l="1"/>
  <c r="Q48" i="2"/>
  <c r="O46" i="2"/>
  <c r="R46" i="2"/>
  <c r="N47" i="2"/>
  <c r="M48" i="2"/>
  <c r="P45" i="2"/>
  <c r="S46" i="2"/>
  <c r="S48" i="2" l="1"/>
  <c r="O47" i="2"/>
  <c r="R47" i="2"/>
  <c r="Q49" i="2"/>
  <c r="N48" i="2"/>
  <c r="P46" i="2"/>
  <c r="M49" i="2"/>
  <c r="S47" i="2"/>
  <c r="O48" i="2" l="1"/>
  <c r="R48" i="2"/>
  <c r="N49" i="2"/>
  <c r="P48" i="2"/>
  <c r="P47" i="2"/>
  <c r="S49" i="2"/>
  <c r="O49" i="2" l="1"/>
  <c r="R49" i="2"/>
  <c r="P49" i="2"/>
</calcChain>
</file>

<file path=xl/sharedStrings.xml><?xml version="1.0" encoding="utf-8"?>
<sst xmlns="http://schemas.openxmlformats.org/spreadsheetml/2006/main" count="156" uniqueCount="123">
  <si>
    <t>Age</t>
  </si>
  <si>
    <t>Service</t>
  </si>
  <si>
    <t>Salary</t>
  </si>
  <si>
    <t>CCL</t>
  </si>
  <si>
    <t>PEPRA</t>
  </si>
  <si>
    <t>HAPC</t>
  </si>
  <si>
    <t>Benefit</t>
  </si>
  <si>
    <t>HAPC1</t>
  </si>
  <si>
    <t>Max</t>
  </si>
  <si>
    <t>Benefit55</t>
  </si>
  <si>
    <t>CBenefit</t>
  </si>
  <si>
    <t>Annual</t>
  </si>
  <si>
    <t>Inc. Bal.</t>
  </si>
  <si>
    <t>Annuitization</t>
  </si>
  <si>
    <t>S1 = Above</t>
  </si>
  <si>
    <t>S2 = 5%all</t>
  </si>
  <si>
    <t>Inc Bal</t>
  </si>
  <si>
    <t>Ann</t>
  </si>
  <si>
    <t xml:space="preserve">Tier16 Plus </t>
  </si>
  <si>
    <t>Hire Age</t>
  </si>
  <si>
    <t>Start Salary</t>
  </si>
  <si>
    <t>inflation</t>
  </si>
  <si>
    <t>interest</t>
  </si>
  <si>
    <t>REPLACEMENT RATIOS</t>
  </si>
  <si>
    <t>DC Bal</t>
  </si>
  <si>
    <t>S1 (Above)</t>
  </si>
  <si>
    <t>Acc Balance</t>
  </si>
  <si>
    <t>Annuity</t>
  </si>
  <si>
    <t>S2 (5% all)</t>
  </si>
  <si>
    <t>Acc Bal</t>
  </si>
  <si>
    <t xml:space="preserve">2nd Choice </t>
  </si>
  <si>
    <t>Savings Choice</t>
  </si>
  <si>
    <t>Pension Choice</t>
  </si>
  <si>
    <t>Second Choice</t>
  </si>
  <si>
    <t>UC Pension COLA</t>
  </si>
  <si>
    <t>2nd Choice</t>
  </si>
  <si>
    <t>Pension</t>
  </si>
  <si>
    <t>Savings</t>
  </si>
  <si>
    <t>2nd Choice Start Must be between 5 and 10 years</t>
  </si>
  <si>
    <t>Average Inflation Rate (%)</t>
  </si>
  <si>
    <t>or Covered Compensation</t>
  </si>
  <si>
    <t>Starting Salary</t>
  </si>
  <si>
    <t>Prepared For:</t>
  </si>
  <si>
    <t>Average Rate of Return (%)</t>
  </si>
  <si>
    <t>Your Name Here</t>
  </si>
  <si>
    <t>Salary Growth</t>
  </si>
  <si>
    <t>Entries in the next 5 rows should not be changed</t>
  </si>
  <si>
    <t>UC contribution to savings</t>
  </si>
  <si>
    <t>UC Employee contribution to savings</t>
  </si>
  <si>
    <t>Annual rate of return corresponding to receiving monthly savings increments</t>
  </si>
  <si>
    <t>Used to accumulate monthly savings increments</t>
  </si>
  <si>
    <t>The Replacement Ratios give the ratio of the pension payouts to projected UC salary in column D</t>
  </si>
  <si>
    <t>Starting Age at UC:</t>
  </si>
  <si>
    <t>Percent of Income Replacement</t>
  </si>
  <si>
    <t>Must be between 5 and 10 years</t>
  </si>
  <si>
    <t>Workspace</t>
  </si>
  <si>
    <t xml:space="preserve">Percent Income </t>
  </si>
  <si>
    <t>Annuity End Age</t>
  </si>
  <si>
    <t>Data in Columns Q, R, and S are linked copies of Columns AB, AA, and AC, respectively from Sheet1.</t>
  </si>
  <si>
    <t>Data in Columns A - H are copied values from Columns L - S from only the Startng Age to Age 70</t>
  </si>
  <si>
    <t>CBenefit60</t>
  </si>
  <si>
    <t>Ben60</t>
  </si>
  <si>
    <t>Age Factor</t>
  </si>
  <si>
    <t>Must be at least 60 and less than</t>
  </si>
  <si>
    <t>Must be greater than 24</t>
  </si>
  <si>
    <t>Note: for each age before</t>
  </si>
  <si>
    <t xml:space="preserve"> the graphs show the annuitized wealth from UC Retirement</t>
  </si>
  <si>
    <t>sources if you separate at that age and wait until age</t>
  </si>
  <si>
    <t xml:space="preserve"> to retire.</t>
  </si>
  <si>
    <t>For all ages equal or above  age</t>
  </si>
  <si>
    <t xml:space="preserve"> the graphs show the UC pension from retiring at that</t>
  </si>
  <si>
    <t>age plus the annuitized value of the UC Retirement Savings balance starting at that age until</t>
  </si>
  <si>
    <t>the annuity end age of</t>
  </si>
  <si>
    <t>Separation Age</t>
  </si>
  <si>
    <t>The row number in the workspace corresponding to Age 70 is calculated as 70 - Starting Age +2</t>
  </si>
  <si>
    <t>last row</t>
  </si>
  <si>
    <t>HAPC12nd</t>
  </si>
  <si>
    <t>Ben65</t>
  </si>
  <si>
    <t>Minimum Retirement Age</t>
  </si>
  <si>
    <t>Year of Second Choice Election</t>
  </si>
  <si>
    <t>Minimum retirement age</t>
  </si>
  <si>
    <t>Each row corresponds to the situation at the start of the year for stock variables like savings balances</t>
  </si>
  <si>
    <t xml:space="preserve">All Inputs in the first 8 rows must be changed on the Home_Page </t>
  </si>
  <si>
    <t>If you change any boxed numbers above row 10  you must hit the "Go!" button to update calculations</t>
  </si>
  <si>
    <t>Salary at retirement age (in cell $e$53)</t>
  </si>
  <si>
    <t>Staff Salaries</t>
  </si>
  <si>
    <t>Faculty = 1 or Staff (Faculty=0)</t>
  </si>
  <si>
    <t>Faculty Title? (Yes/No)</t>
  </si>
  <si>
    <t>Columns Q, Y, and AP give the expected annual payout from Savings Choice, Pension Choice, and Second Choice (with election at service year in cell $H$53)</t>
  </si>
  <si>
    <t>Each row from Service year 1 - 34 corresponds to separating at age given in row A and retiring at age Max(Age, Minimum Retirement Age in cell $E$53)</t>
  </si>
  <si>
    <t>All savings balances are converted to an annuity starting at Max(age in Col A, minimum retirement age in Cell $E$53) and ending at age in Cell $I$53 with payouts growing at the UC Pension COLA rate in cell $G$53</t>
  </si>
  <si>
    <t>The information below is only valid for UC employees first hired after July 1, 2016</t>
  </si>
  <si>
    <t>yes</t>
  </si>
  <si>
    <t>TFIR 2016 Pension Choice Model</t>
  </si>
  <si>
    <t>This spreadsheet is intended to help new UC employees hired after July 1, 2016 choose</t>
  </si>
  <si>
    <t>between Savings Choice, Pension Choice, or Second Choice.</t>
  </si>
  <si>
    <t>All inputs should be entered on the "Home_Page" tab, and users are encouraged to experiment</t>
  </si>
  <si>
    <t>with different values for investment returns, inflation, and retirement age.</t>
  </si>
  <si>
    <t>Note that investment returns and inflation are held constant for the simulations, so</t>
  </si>
  <si>
    <t>you should choose values that represent reasonable long-run values. The UC Investment Office</t>
  </si>
  <si>
    <t>The "Annuity End Age" controls the age when the withdrawals from retirement</t>
  </si>
  <si>
    <t>savings balances lead to zero balances.  This should generally be at least 100 years for</t>
  </si>
  <si>
    <r>
      <t xml:space="preserve">currently assumes a 6.75% investment return and 2.5% inflation.  </t>
    </r>
    <r>
      <rPr>
        <b/>
        <sz val="12"/>
        <color theme="1"/>
        <rFont val="Calibri"/>
        <family val="2"/>
        <scheme val="minor"/>
      </rPr>
      <t>Note that you must choose</t>
    </r>
  </si>
  <si>
    <t>values so that investment return is strictly greater than inflation and both are greater than</t>
  </si>
  <si>
    <t>a single retiree, but employees with younger spouses should set a higher value if they</t>
  </si>
  <si>
    <t>expect their retirement savings to last for their spouse's life.</t>
  </si>
  <si>
    <r>
      <t xml:space="preserve">Note that </t>
    </r>
    <r>
      <rPr>
        <b/>
        <sz val="12"/>
        <color theme="1"/>
        <rFont val="Calibri"/>
        <family val="2"/>
        <scheme val="minor"/>
      </rPr>
      <t>macros must be enabled</t>
    </r>
    <r>
      <rPr>
        <sz val="12"/>
        <color theme="1"/>
        <rFont val="Calibri"/>
        <family val="2"/>
        <scheme val="minor"/>
      </rPr>
      <t xml:space="preserve"> for this spreadsheet to work, and you must</t>
    </r>
  </si>
  <si>
    <r>
      <rPr>
        <b/>
        <sz val="12"/>
        <color theme="1"/>
        <rFont val="Calibri"/>
        <family val="2"/>
        <scheme val="minor"/>
      </rPr>
      <t>click the "GO!" button</t>
    </r>
    <r>
      <rPr>
        <sz val="12"/>
        <color theme="1"/>
        <rFont val="Calibri"/>
        <family val="2"/>
        <scheme val="minor"/>
      </rPr>
      <t xml:space="preserve"> on the Home_Page each time you change any of the input values.</t>
    </r>
  </si>
  <si>
    <t>The "Year of Second Choice Election" is the year of UC employment when you elect to switch</t>
  </si>
  <si>
    <t>from Savings to Pension choice.  The election is effective the next year.</t>
  </si>
  <si>
    <r>
      <rPr>
        <b/>
        <sz val="12"/>
        <color theme="1"/>
        <rFont val="Calibri"/>
        <family val="2"/>
        <scheme val="minor"/>
      </rPr>
      <t>zero</t>
    </r>
    <r>
      <rPr>
        <sz val="12"/>
        <color theme="1"/>
        <rFont val="Calibri"/>
        <family val="2"/>
        <scheme val="minor"/>
      </rPr>
      <t>. Entering other values will lead to erroneous calculations.  The "2016 Pension Choice</t>
    </r>
  </si>
  <si>
    <t>inflation that will help you choose reasonable values for these key inputs.</t>
  </si>
  <si>
    <t>The detailed computations are carried out on tab "Sheet1," and there is a full description at</t>
  </si>
  <si>
    <t>© David Brownstone, Jim Chalfant, and Daniel Hare 2022</t>
  </si>
  <si>
    <t>no</t>
  </si>
  <si>
    <t xml:space="preserve">https://senate.universityofcalifornia.edu/resources/pension-choice-model.html </t>
  </si>
  <si>
    <t>First, please read documentation at:</t>
  </si>
  <si>
    <t>Cells in Blue on this row should only be changed on the Home Page</t>
  </si>
  <si>
    <t>https://senate.universityofcalifornia.edu/_files/committees/tfir/excel-sheet-description.pdf</t>
  </si>
  <si>
    <t>Full descriptions of each column are given in:</t>
  </si>
  <si>
    <t>TFIR 2016 Pension Choice Model Version 4.2</t>
  </si>
  <si>
    <t>March 31, 2022</t>
  </si>
  <si>
    <t>Model" page (see link on line 4) provides some historical data on investment returns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</si>
</sst>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1" fontId="0" fillId="0" borderId="0" xfId="0" applyNumberFormat="1"/>
    <xf numFmtId="10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2" fillId="0" borderId="0" xfId="0" applyFont="1"/>
    <xf numFmtId="9" fontId="2" fillId="0" borderId="0" xfId="0" applyNumberFormat="1" applyFont="1"/>
    <xf numFmtId="9" fontId="0" fillId="0" borderId="0" xfId="1" applyFont="1"/>
    <xf numFmtId="0" fontId="5" fillId="0" borderId="0" xfId="0" applyFont="1"/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1" xfId="1" applyNumberFormat="1" applyFont="1" applyBorder="1"/>
    <xf numFmtId="2" fontId="0" fillId="0" borderId="1" xfId="0" applyNumberFormat="1" applyBorder="1"/>
    <xf numFmtId="0" fontId="4" fillId="0" borderId="0" xfId="0" applyFont="1"/>
    <xf numFmtId="0" fontId="6" fillId="0" borderId="0" xfId="0" applyFont="1"/>
    <xf numFmtId="1" fontId="1" fillId="0" borderId="0" xfId="0" applyNumberFormat="1" applyFont="1"/>
    <xf numFmtId="0" fontId="7" fillId="0" borderId="0" xfId="0" applyFont="1"/>
    <xf numFmtId="0" fontId="0" fillId="0" borderId="0" xfId="0" applyAlignment="1">
      <alignment horizontal="right" wrapText="1"/>
    </xf>
    <xf numFmtId="9" fontId="0" fillId="0" borderId="0" xfId="1" applyFont="1" applyAlignment="1">
      <alignment horizontal="right" wrapText="1"/>
    </xf>
    <xf numFmtId="0" fontId="0" fillId="0" borderId="0" xfId="0" quotePrefix="1"/>
    <xf numFmtId="1" fontId="0" fillId="0" borderId="0" xfId="1" applyNumberFormat="1" applyFont="1"/>
    <xf numFmtId="49" fontId="0" fillId="0" borderId="0" xfId="0" applyNumberFormat="1" applyAlignment="1">
      <alignment wrapText="1"/>
    </xf>
    <xf numFmtId="9" fontId="0" fillId="0" borderId="0" xfId="0" applyNumberFormat="1"/>
    <xf numFmtId="1" fontId="3" fillId="0" borderId="0" xfId="1" applyNumberFormat="1" applyFont="1"/>
    <xf numFmtId="164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5" xfId="0" applyBorder="1"/>
    <xf numFmtId="0" fontId="0" fillId="0" borderId="1" xfId="0" applyBorder="1" applyAlignment="1">
      <alignment horizontal="center"/>
    </xf>
    <xf numFmtId="1" fontId="0" fillId="0" borderId="6" xfId="0" applyNumberFormat="1" applyBorder="1"/>
    <xf numFmtId="9" fontId="0" fillId="0" borderId="6" xfId="1" applyFont="1" applyBorder="1"/>
    <xf numFmtId="0" fontId="0" fillId="0" borderId="6" xfId="0" applyBorder="1"/>
    <xf numFmtId="1" fontId="0" fillId="0" borderId="6" xfId="1" applyNumberFormat="1" applyFont="1" applyBorder="1"/>
    <xf numFmtId="9" fontId="0" fillId="0" borderId="6" xfId="0" applyNumberFormat="1" applyBorder="1"/>
    <xf numFmtId="49" fontId="11" fillId="0" borderId="0" xfId="0" applyNumberFormat="1" applyFont="1"/>
    <xf numFmtId="0" fontId="12" fillId="0" borderId="0" xfId="0" applyFont="1"/>
    <xf numFmtId="49" fontId="0" fillId="0" borderId="0" xfId="0" applyNumberFormat="1"/>
    <xf numFmtId="0" fontId="13" fillId="0" borderId="0" xfId="2"/>
    <xf numFmtId="0" fontId="14" fillId="0" borderId="0" xfId="0" applyFont="1"/>
    <xf numFmtId="0" fontId="15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</a:t>
            </a:r>
            <a:r>
              <a:rPr lang="en-US" baseline="0"/>
              <a:t> final salary</a:t>
            </a:r>
            <a:r>
              <a:rPr lang="en-US"/>
              <a:t> replaced</a:t>
            </a:r>
          </a:p>
        </c:rich>
      </c:tx>
      <c:layout>
        <c:manualLayout>
          <c:xMode val="edge"/>
          <c:yMode val="edge"/>
          <c:x val="0.35027727305500345"/>
          <c:y val="2.99625518657165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60297829023335"/>
          <c:y val="0.17017664601972929"/>
          <c:w val="0.7766031198929263"/>
          <c:h val="0.57940128317293671"/>
        </c:manualLayout>
      </c:layout>
      <c:lineChart>
        <c:grouping val="standard"/>
        <c:varyColors val="0"/>
        <c:ser>
          <c:idx val="2"/>
          <c:order val="0"/>
          <c:tx>
            <c:strRef>
              <c:f>Tabular_Output!$E$11</c:f>
              <c:strCache>
                <c:ptCount val="1"/>
                <c:pt idx="0">
                  <c:v>Second Choice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[0]!AGE_1</c:f>
              <c:numCache>
                <c:formatCode>0</c:formatCode>
                <c:ptCount val="35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 formatCode="General">
                  <c:v>61</c:v>
                </c:pt>
                <c:pt idx="26" formatCode="General">
                  <c:v>62</c:v>
                </c:pt>
                <c:pt idx="27" formatCode="General">
                  <c:v>63</c:v>
                </c:pt>
                <c:pt idx="28" formatCode="General">
                  <c:v>64</c:v>
                </c:pt>
                <c:pt idx="29" formatCode="General">
                  <c:v>65</c:v>
                </c:pt>
                <c:pt idx="30" formatCode="General">
                  <c:v>66</c:v>
                </c:pt>
                <c:pt idx="31" formatCode="General">
                  <c:v>67</c:v>
                </c:pt>
                <c:pt idx="32" formatCode="General">
                  <c:v>68</c:v>
                </c:pt>
                <c:pt idx="33" formatCode="General">
                  <c:v>69</c:v>
                </c:pt>
                <c:pt idx="34" formatCode="General">
                  <c:v>70</c:v>
                </c:pt>
              </c:numCache>
            </c:numRef>
          </c:cat>
          <c:val>
            <c:numRef>
              <c:f>[0]!SECONDPCT</c:f>
              <c:numCache>
                <c:formatCode>0%</c:formatCode>
                <c:ptCount val="35"/>
                <c:pt idx="0">
                  <c:v>0</c:v>
                </c:pt>
                <c:pt idx="1">
                  <c:v>1.1537665106057729E-2</c:v>
                </c:pt>
                <c:pt idx="2">
                  <c:v>2.2961844981564065E-2</c:v>
                </c:pt>
                <c:pt idx="3">
                  <c:v>3.4273655874688384E-2</c:v>
                </c:pt>
                <c:pt idx="4">
                  <c:v>4.5468904782028745E-2</c:v>
                </c:pt>
                <c:pt idx="5">
                  <c:v>5.6548792810698606E-2</c:v>
                </c:pt>
                <c:pt idx="6">
                  <c:v>6.7514508691063679E-2</c:v>
                </c:pt>
                <c:pt idx="7">
                  <c:v>7.7604430698648919E-2</c:v>
                </c:pt>
                <c:pt idx="8">
                  <c:v>9.8884456579564739E-2</c:v>
                </c:pt>
                <c:pt idx="9">
                  <c:v>0.11008100213620393</c:v>
                </c:pt>
                <c:pt idx="10">
                  <c:v>0.12165137719524503</c:v>
                </c:pt>
                <c:pt idx="11">
                  <c:v>0.13359474384019684</c:v>
                </c:pt>
                <c:pt idx="12">
                  <c:v>0.14591885160613588</c:v>
                </c:pt>
                <c:pt idx="13">
                  <c:v>0.1586244882735186</c:v>
                </c:pt>
                <c:pt idx="14">
                  <c:v>0.17171336711122781</c:v>
                </c:pt>
                <c:pt idx="15">
                  <c:v>0.18518814419824017</c:v>
                </c:pt>
                <c:pt idx="16">
                  <c:v>0.19905243520025145</c:v>
                </c:pt>
                <c:pt idx="17">
                  <c:v>0.21331796892137231</c:v>
                </c:pt>
                <c:pt idx="18">
                  <c:v>0.22799710111990035</c:v>
                </c:pt>
                <c:pt idx="19">
                  <c:v>0.24310282212478765</c:v>
                </c:pt>
                <c:pt idx="20">
                  <c:v>0.25864876517757612</c:v>
                </c:pt>
                <c:pt idx="21">
                  <c:v>0.27464921550062138</c:v>
                </c:pt>
                <c:pt idx="22">
                  <c:v>0.29111912009326008</c:v>
                </c:pt>
                <c:pt idx="23">
                  <c:v>0.30807409825839793</c:v>
                </c:pt>
                <c:pt idx="24">
                  <c:v>0.32553045286281107</c:v>
                </c:pt>
                <c:pt idx="25">
                  <c:v>0.35283916112785441</c:v>
                </c:pt>
                <c:pt idx="26">
                  <c:v>0.38132344989860667</c:v>
                </c:pt>
                <c:pt idx="27">
                  <c:v>0.41103283073549451</c:v>
                </c:pt>
                <c:pt idx="28">
                  <c:v>0.44202895118212793</c:v>
                </c:pt>
                <c:pt idx="29">
                  <c:v>0.47438617206730882</c:v>
                </c:pt>
                <c:pt idx="30">
                  <c:v>0.49355784163489547</c:v>
                </c:pt>
                <c:pt idx="31">
                  <c:v>0.51315848640909267</c:v>
                </c:pt>
                <c:pt idx="32">
                  <c:v>0.53326010739207452</c:v>
                </c:pt>
                <c:pt idx="33">
                  <c:v>0.55394282566986675</c:v>
                </c:pt>
                <c:pt idx="34">
                  <c:v>0.57524031772413908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4A-41C7-94E3-39181186FF28}"/>
            </c:ext>
          </c:extLst>
        </c:ser>
        <c:ser>
          <c:idx val="0"/>
          <c:order val="1"/>
          <c:tx>
            <c:strRef>
              <c:f>Tabular_Output!$C$11</c:f>
              <c:strCache>
                <c:ptCount val="1"/>
                <c:pt idx="0">
                  <c:v>Savings Choice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[0]!AGE_1</c:f>
              <c:numCache>
                <c:formatCode>0</c:formatCode>
                <c:ptCount val="35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 formatCode="General">
                  <c:v>61</c:v>
                </c:pt>
                <c:pt idx="26" formatCode="General">
                  <c:v>62</c:v>
                </c:pt>
                <c:pt idx="27" formatCode="General">
                  <c:v>63</c:v>
                </c:pt>
                <c:pt idx="28" formatCode="General">
                  <c:v>64</c:v>
                </c:pt>
                <c:pt idx="29" formatCode="General">
                  <c:v>65</c:v>
                </c:pt>
                <c:pt idx="30" formatCode="General">
                  <c:v>66</c:v>
                </c:pt>
                <c:pt idx="31" formatCode="General">
                  <c:v>67</c:v>
                </c:pt>
                <c:pt idx="32" formatCode="General">
                  <c:v>68</c:v>
                </c:pt>
                <c:pt idx="33" formatCode="General">
                  <c:v>69</c:v>
                </c:pt>
                <c:pt idx="34" formatCode="General">
                  <c:v>70</c:v>
                </c:pt>
              </c:numCache>
            </c:numRef>
          </c:cat>
          <c:val>
            <c:numRef>
              <c:f>[0]!SAVINGSPCT</c:f>
              <c:numCache>
                <c:formatCode>0%</c:formatCode>
                <c:ptCount val="35"/>
                <c:pt idx="0">
                  <c:v>0</c:v>
                </c:pt>
                <c:pt idx="1">
                  <c:v>1.1537665106057729E-2</c:v>
                </c:pt>
                <c:pt idx="2">
                  <c:v>2.2961844981564065E-2</c:v>
                </c:pt>
                <c:pt idx="3">
                  <c:v>3.4273655874688384E-2</c:v>
                </c:pt>
                <c:pt idx="4">
                  <c:v>4.5468904782028745E-2</c:v>
                </c:pt>
                <c:pt idx="5">
                  <c:v>5.6548792810698606E-2</c:v>
                </c:pt>
                <c:pt idx="6">
                  <c:v>6.7514508691063679E-2</c:v>
                </c:pt>
                <c:pt idx="7">
                  <c:v>7.8367228904277469E-2</c:v>
                </c:pt>
                <c:pt idx="8">
                  <c:v>9.9723185180796467E-2</c:v>
                </c:pt>
                <c:pt idx="9">
                  <c:v>0.11022395236830648</c:v>
                </c:pt>
                <c:pt idx="10">
                  <c:v>0.12060175975268411</c:v>
                </c:pt>
                <c:pt idx="11">
                  <c:v>0.13084832554484707</c:v>
                </c:pt>
                <c:pt idx="12">
                  <c:v>0.14096530947453306</c:v>
                </c:pt>
                <c:pt idx="13">
                  <c:v>0.15094487301360504</c:v>
                </c:pt>
                <c:pt idx="14">
                  <c:v>0.16077953422494343</c:v>
                </c:pt>
                <c:pt idx="15">
                  <c:v>0.17046218427938523</c:v>
                </c:pt>
                <c:pt idx="16">
                  <c:v>0.17998610236572146</c:v>
                </c:pt>
                <c:pt idx="17">
                  <c:v>0.18935389064736363</c:v>
                </c:pt>
                <c:pt idx="18">
                  <c:v>0.19856810862930679</c:v>
                </c:pt>
                <c:pt idx="19">
                  <c:v>0.20763127385744756</c:v>
                </c:pt>
                <c:pt idx="20">
                  <c:v>0.21654586260643843</c:v>
                </c:pt>
                <c:pt idx="21">
                  <c:v>0.22531431055626561</c:v>
                </c:pt>
                <c:pt idx="22">
                  <c:v>0.23393901345773491</c:v>
                </c:pt>
                <c:pt idx="23">
                  <c:v>0.242422327787049</c:v>
                </c:pt>
                <c:pt idx="24">
                  <c:v>0.25076657138965303</c:v>
                </c:pt>
                <c:pt idx="25">
                  <c:v>0.26593385658641372</c:v>
                </c:pt>
                <c:pt idx="26">
                  <c:v>0.28199750935079915</c:v>
                </c:pt>
                <c:pt idx="27">
                  <c:v>0.29904629808680228</c:v>
                </c:pt>
                <c:pt idx="28">
                  <c:v>0.31717920274285055</c:v>
                </c:pt>
                <c:pt idx="29">
                  <c:v>0.33650693137376381</c:v>
                </c:pt>
                <c:pt idx="30">
                  <c:v>0.35766759649819513</c:v>
                </c:pt>
                <c:pt idx="31">
                  <c:v>0.37997419721414161</c:v>
                </c:pt>
                <c:pt idx="32">
                  <c:v>0.40353051510779764</c:v>
                </c:pt>
                <c:pt idx="33">
                  <c:v>0.42845375790196988</c:v>
                </c:pt>
                <c:pt idx="34">
                  <c:v>0.45480685712460955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A-41C7-94E3-39181186FF28}"/>
            </c:ext>
          </c:extLst>
        </c:ser>
        <c:ser>
          <c:idx val="1"/>
          <c:order val="2"/>
          <c:tx>
            <c:strRef>
              <c:f>Tabular_Output!$D$11</c:f>
              <c:strCache>
                <c:ptCount val="1"/>
                <c:pt idx="0">
                  <c:v>Pension Choice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[0]!AGE_1</c:f>
              <c:numCache>
                <c:formatCode>0</c:formatCode>
                <c:ptCount val="35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 formatCode="General">
                  <c:v>61</c:v>
                </c:pt>
                <c:pt idx="26" formatCode="General">
                  <c:v>62</c:v>
                </c:pt>
                <c:pt idx="27" formatCode="General">
                  <c:v>63</c:v>
                </c:pt>
                <c:pt idx="28" formatCode="General">
                  <c:v>64</c:v>
                </c:pt>
                <c:pt idx="29" formatCode="General">
                  <c:v>65</c:v>
                </c:pt>
                <c:pt idx="30" formatCode="General">
                  <c:v>66</c:v>
                </c:pt>
                <c:pt idx="31" formatCode="General">
                  <c:v>67</c:v>
                </c:pt>
                <c:pt idx="32" formatCode="General">
                  <c:v>68</c:v>
                </c:pt>
                <c:pt idx="33" formatCode="General">
                  <c:v>69</c:v>
                </c:pt>
                <c:pt idx="34" formatCode="General">
                  <c:v>70</c:v>
                </c:pt>
              </c:numCache>
            </c:numRef>
          </c:cat>
          <c:val>
            <c:numRef>
              <c:f>[0]!PENSIONPCT</c:f>
              <c:numCache>
                <c:formatCode>0%</c:formatCode>
                <c:ptCount val="35"/>
                <c:pt idx="0">
                  <c:v>0</c:v>
                </c:pt>
                <c:pt idx="1">
                  <c:v>3.8458883686859086E-3</c:v>
                </c:pt>
                <c:pt idx="2">
                  <c:v>7.6888321739231099E-3</c:v>
                </c:pt>
                <c:pt idx="3">
                  <c:v>1.1652744497277765E-2</c:v>
                </c:pt>
                <c:pt idx="4">
                  <c:v>1.5725875893947788E-2</c:v>
                </c:pt>
                <c:pt idx="5">
                  <c:v>4.7172995787300082E-2</c:v>
                </c:pt>
                <c:pt idx="6">
                  <c:v>5.7716106519575559E-2</c:v>
                </c:pt>
                <c:pt idx="7">
                  <c:v>6.8644638509701414E-2</c:v>
                </c:pt>
                <c:pt idx="8">
                  <c:v>9.1665304235628173E-2</c:v>
                </c:pt>
                <c:pt idx="9">
                  <c:v>0.10376494102049676</c:v>
                </c:pt>
                <c:pt idx="10">
                  <c:v>0.11626098458847302</c:v>
                </c:pt>
                <c:pt idx="11">
                  <c:v>0.1291531614550834</c:v>
                </c:pt>
                <c:pt idx="12">
                  <c:v>0.14244979969822244</c:v>
                </c:pt>
                <c:pt idx="13">
                  <c:v>0.15615228010473514</c:v>
                </c:pt>
                <c:pt idx="14">
                  <c:v>0.17026292377505262</c:v>
                </c:pt>
                <c:pt idx="15">
                  <c:v>0.18478500981548845</c:v>
                </c:pt>
                <c:pt idx="16">
                  <c:v>0.19972279249475877</c:v>
                </c:pt>
                <c:pt idx="17">
                  <c:v>0.21508865518507014</c:v>
                </c:pt>
                <c:pt idx="18">
                  <c:v>0.23089562457701845</c:v>
                </c:pt>
                <c:pt idx="19">
                  <c:v>0.24715737870516152</c:v>
                </c:pt>
                <c:pt idx="20">
                  <c:v>0.26388825570928726</c:v>
                </c:pt>
                <c:pt idx="21">
                  <c:v>0.28110326333245317</c:v>
                </c:pt>
                <c:pt idx="22">
                  <c:v>0.29881808915771541</c:v>
                </c:pt>
                <c:pt idx="23">
                  <c:v>0.31704911158629251</c:v>
                </c:pt>
                <c:pt idx="24">
                  <c:v>0.33581341156073075</c:v>
                </c:pt>
                <c:pt idx="25">
                  <c:v>0.36480586459364428</c:v>
                </c:pt>
                <c:pt idx="26">
                  <c:v>0.39477372446591291</c:v>
                </c:pt>
                <c:pt idx="27">
                  <c:v>0.42577156608228289</c:v>
                </c:pt>
                <c:pt idx="28">
                  <c:v>0.45786428397136453</c:v>
                </c:pt>
                <c:pt idx="29">
                  <c:v>0.49112760956458834</c:v>
                </c:pt>
                <c:pt idx="30">
                  <c:v>0.5073516326563986</c:v>
                </c:pt>
                <c:pt idx="31">
                  <c:v>0.52391892074734792</c:v>
                </c:pt>
                <c:pt idx="32">
                  <c:v>0.54089156077135203</c:v>
                </c:pt>
                <c:pt idx="33">
                  <c:v>0.55833852501374037</c:v>
                </c:pt>
                <c:pt idx="34">
                  <c:v>0.57628089939265448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A-41C7-94E3-39181186F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582576"/>
        <c:axId val="378580608"/>
      </c:lineChart>
      <c:dateAx>
        <c:axId val="37858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when you depart UC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580608"/>
        <c:crossesAt val="0"/>
        <c:auto val="0"/>
        <c:lblOffset val="100"/>
        <c:baseTimeUnit val="days"/>
        <c:majorUnit val="5"/>
        <c:minorUnit val="1"/>
      </c:dateAx>
      <c:valAx>
        <c:axId val="37858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Salary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out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58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Annuitized Balances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60297829023335"/>
          <c:y val="0.17017664601972929"/>
          <c:w val="0.7766031198929263"/>
          <c:h val="0.57940128317293671"/>
        </c:manualLayout>
      </c:layout>
      <c:lineChart>
        <c:grouping val="standard"/>
        <c:varyColors val="0"/>
        <c:ser>
          <c:idx val="2"/>
          <c:order val="0"/>
          <c:tx>
            <c:strRef>
              <c:f>Tabular_Output!$H$11</c:f>
              <c:strCache>
                <c:ptCount val="1"/>
                <c:pt idx="0">
                  <c:v>Second Choice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[0]!AGE_1</c:f>
              <c:numCache>
                <c:formatCode>0</c:formatCode>
                <c:ptCount val="35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 formatCode="General">
                  <c:v>61</c:v>
                </c:pt>
                <c:pt idx="26" formatCode="General">
                  <c:v>62</c:v>
                </c:pt>
                <c:pt idx="27" formatCode="General">
                  <c:v>63</c:v>
                </c:pt>
                <c:pt idx="28" formatCode="General">
                  <c:v>64</c:v>
                </c:pt>
                <c:pt idx="29" formatCode="General">
                  <c:v>65</c:v>
                </c:pt>
                <c:pt idx="30" formatCode="General">
                  <c:v>66</c:v>
                </c:pt>
                <c:pt idx="31" formatCode="General">
                  <c:v>67</c:v>
                </c:pt>
                <c:pt idx="32" formatCode="General">
                  <c:v>68</c:v>
                </c:pt>
                <c:pt idx="33" formatCode="General">
                  <c:v>69</c:v>
                </c:pt>
                <c:pt idx="34" formatCode="General">
                  <c:v>70</c:v>
                </c:pt>
              </c:numCache>
            </c:numRef>
          </c:cat>
          <c:val>
            <c:numRef>
              <c:f>[0]!SECONDANN</c:f>
              <c:numCache>
                <c:formatCode>0</c:formatCode>
                <c:ptCount val="35"/>
                <c:pt idx="0">
                  <c:v>0</c:v>
                </c:pt>
                <c:pt idx="1">
                  <c:v>5251.8884758029917</c:v>
                </c:pt>
                <c:pt idx="2">
                  <c:v>10452.119032171853</c:v>
                </c:pt>
                <c:pt idx="3">
                  <c:v>15601.199779789549</c:v>
                </c:pt>
                <c:pt idx="4">
                  <c:v>20697.222084106266</c:v>
                </c:pt>
                <c:pt idx="5">
                  <c:v>25740.732683179431</c:v>
                </c:pt>
                <c:pt idx="6">
                  <c:v>30732.272681231705</c:v>
                </c:pt>
                <c:pt idx="7">
                  <c:v>35325.155610860638</c:v>
                </c:pt>
                <c:pt idx="8">
                  <c:v>45011.718850600766</c:v>
                </c:pt>
                <c:pt idx="9">
                  <c:v>50108.33138330833</c:v>
                </c:pt>
                <c:pt idx="10">
                  <c:v>55375.109269016903</c:v>
                </c:pt>
                <c:pt idx="11">
                  <c:v>60811.671092256081</c:v>
                </c:pt>
                <c:pt idx="12">
                  <c:v>66421.544403321968</c:v>
                </c:pt>
                <c:pt idx="13">
                  <c:v>72205.087796008243</c:v>
                </c:pt>
                <c:pt idx="14">
                  <c:v>78163.081141893694</c:v>
                </c:pt>
                <c:pt idx="15">
                  <c:v>84296.733475080109</c:v>
                </c:pt>
                <c:pt idx="16">
                  <c:v>90607.690628829703</c:v>
                </c:pt>
                <c:pt idx="17">
                  <c:v>97101.29149715419</c:v>
                </c:pt>
                <c:pt idx="18">
                  <c:v>103783.16036053115</c:v>
                </c:pt>
                <c:pt idx="19">
                  <c:v>110659.21035288268</c:v>
                </c:pt>
                <c:pt idx="20">
                  <c:v>117735.64725878337</c:v>
                </c:pt>
                <c:pt idx="21">
                  <c:v>125018.97364127121</c:v>
                </c:pt>
                <c:pt idx="22">
                  <c:v>132515.99330101494</c:v>
                </c:pt>
                <c:pt idx="23">
                  <c:v>140233.81606796509</c:v>
                </c:pt>
                <c:pt idx="24">
                  <c:v>148179.86292698796</c:v>
                </c:pt>
                <c:pt idx="25">
                  <c:v>168480.57475698375</c:v>
                </c:pt>
                <c:pt idx="26">
                  <c:v>190821.73958344417</c:v>
                </c:pt>
                <c:pt idx="27">
                  <c:v>215356.27509578087</c:v>
                </c:pt>
                <c:pt idx="28">
                  <c:v>242249.79503416794</c:v>
                </c:pt>
                <c:pt idx="29">
                  <c:v>271682.09347363282</c:v>
                </c:pt>
                <c:pt idx="30">
                  <c:v>294674.87897529604</c:v>
                </c:pt>
                <c:pt idx="31">
                  <c:v>319398.32672471931</c:v>
                </c:pt>
                <c:pt idx="32">
                  <c:v>346016.07908311608</c:v>
                </c:pt>
                <c:pt idx="33">
                  <c:v>374712.50820945209</c:v>
                </c:pt>
                <c:pt idx="34">
                  <c:v>405656.67774950765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28-4DA7-B1DC-72A63B2896FB}"/>
            </c:ext>
          </c:extLst>
        </c:ser>
        <c:ser>
          <c:idx val="0"/>
          <c:order val="1"/>
          <c:tx>
            <c:strRef>
              <c:f>Tabular_Output!$F$11</c:f>
              <c:strCache>
                <c:ptCount val="1"/>
                <c:pt idx="0">
                  <c:v>Savings Choice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[0]!AGE_1</c:f>
              <c:numCache>
                <c:formatCode>0</c:formatCode>
                <c:ptCount val="35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 formatCode="General">
                  <c:v>61</c:v>
                </c:pt>
                <c:pt idx="26" formatCode="General">
                  <c:v>62</c:v>
                </c:pt>
                <c:pt idx="27" formatCode="General">
                  <c:v>63</c:v>
                </c:pt>
                <c:pt idx="28" formatCode="General">
                  <c:v>64</c:v>
                </c:pt>
                <c:pt idx="29" formatCode="General">
                  <c:v>65</c:v>
                </c:pt>
                <c:pt idx="30" formatCode="General">
                  <c:v>66</c:v>
                </c:pt>
                <c:pt idx="31" formatCode="General">
                  <c:v>67</c:v>
                </c:pt>
                <c:pt idx="32" formatCode="General">
                  <c:v>68</c:v>
                </c:pt>
                <c:pt idx="33" formatCode="General">
                  <c:v>69</c:v>
                </c:pt>
                <c:pt idx="34" formatCode="General">
                  <c:v>70</c:v>
                </c:pt>
              </c:numCache>
            </c:numRef>
          </c:cat>
          <c:val>
            <c:numRef>
              <c:f>[0]!SAVINGSANN</c:f>
              <c:numCache>
                <c:formatCode>0</c:formatCode>
                <c:ptCount val="35"/>
                <c:pt idx="0">
                  <c:v>0</c:v>
                </c:pt>
                <c:pt idx="1">
                  <c:v>5251.8884758029917</c:v>
                </c:pt>
                <c:pt idx="2">
                  <c:v>10452.119032171853</c:v>
                </c:pt>
                <c:pt idx="3">
                  <c:v>15601.199779789549</c:v>
                </c:pt>
                <c:pt idx="4">
                  <c:v>20697.222084106266</c:v>
                </c:pt>
                <c:pt idx="5">
                  <c:v>25740.732683179431</c:v>
                </c:pt>
                <c:pt idx="6">
                  <c:v>30732.272681231705</c:v>
                </c:pt>
                <c:pt idx="7">
                  <c:v>35672.377606704526</c:v>
                </c:pt>
                <c:pt idx="8">
                  <c:v>45393.503989504003</c:v>
                </c:pt>
                <c:pt idx="9">
                  <c:v>50173.401626697399</c:v>
                </c:pt>
                <c:pt idx="10">
                  <c:v>54897.328565563024</c:v>
                </c:pt>
                <c:pt idx="11">
                  <c:v>59561.514976396138</c:v>
                </c:pt>
                <c:pt idx="12">
                  <c:v>64166.716360019665</c:v>
                </c:pt>
                <c:pt idx="13">
                  <c:v>68709.36465693354</c:v>
                </c:pt>
                <c:pt idx="14">
                  <c:v>73186.054126117058</c:v>
                </c:pt>
                <c:pt idx="15">
                  <c:v>77593.548863458389</c:v>
                </c:pt>
                <c:pt idx="16">
                  <c:v>81928.78958871217</c:v>
                </c:pt>
                <c:pt idx="17">
                  <c:v>86192.9607938798</c:v>
                </c:pt>
                <c:pt idx="18">
                  <c:v>90387.227553061108</c:v>
                </c:pt>
                <c:pt idx="19">
                  <c:v>94512.735840780413</c:v>
                </c:pt>
                <c:pt idx="20">
                  <c:v>98570.612845094452</c:v>
                </c:pt>
                <c:pt idx="21">
                  <c:v>102561.96727556731</c:v>
                </c:pt>
                <c:pt idx="22">
                  <c:v>106487.88966619634</c:v>
                </c:pt>
                <c:pt idx="23">
                  <c:v>110349.45267337243</c:v>
                </c:pt>
                <c:pt idx="24">
                  <c:v>114147.71136895548</c:v>
                </c:pt>
                <c:pt idx="25">
                  <c:v>126983.32254787584</c:v>
                </c:pt>
                <c:pt idx="26">
                  <c:v>141117.08919770442</c:v>
                </c:pt>
                <c:pt idx="27">
                  <c:v>156682.12371726474</c:v>
                </c:pt>
                <c:pt idx="28">
                  <c:v>173827.06867518634</c:v>
                </c:pt>
                <c:pt idx="29">
                  <c:v>192718.32310289307</c:v>
                </c:pt>
                <c:pt idx="30">
                  <c:v>213542.66272494168</c:v>
                </c:pt>
                <c:pt idx="31">
                  <c:v>236502.2230033121</c:v>
                </c:pt>
                <c:pt idx="32">
                  <c:v>261838.53750254391</c:v>
                </c:pt>
                <c:pt idx="33">
                  <c:v>289825.90772083338</c:v>
                </c:pt>
                <c:pt idx="34">
                  <c:v>320727.58635694295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8-4DA7-B1DC-72A63B2896FB}"/>
            </c:ext>
          </c:extLst>
        </c:ser>
        <c:ser>
          <c:idx val="1"/>
          <c:order val="2"/>
          <c:tx>
            <c:strRef>
              <c:f>Tabular_Output!$G$11</c:f>
              <c:strCache>
                <c:ptCount val="1"/>
                <c:pt idx="0">
                  <c:v>Pension Choice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[0]!AGE_1</c:f>
              <c:numCache>
                <c:formatCode>0</c:formatCode>
                <c:ptCount val="35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 formatCode="General">
                  <c:v>61</c:v>
                </c:pt>
                <c:pt idx="26" formatCode="General">
                  <c:v>62</c:v>
                </c:pt>
                <c:pt idx="27" formatCode="General">
                  <c:v>63</c:v>
                </c:pt>
                <c:pt idx="28" formatCode="General">
                  <c:v>64</c:v>
                </c:pt>
                <c:pt idx="29" formatCode="General">
                  <c:v>65</c:v>
                </c:pt>
                <c:pt idx="30" formatCode="General">
                  <c:v>66</c:v>
                </c:pt>
                <c:pt idx="31" formatCode="General">
                  <c:v>67</c:v>
                </c:pt>
                <c:pt idx="32" formatCode="General">
                  <c:v>68</c:v>
                </c:pt>
                <c:pt idx="33" formatCode="General">
                  <c:v>69</c:v>
                </c:pt>
                <c:pt idx="34" formatCode="General">
                  <c:v>70</c:v>
                </c:pt>
              </c:numCache>
            </c:numRef>
          </c:cat>
          <c:val>
            <c:numRef>
              <c:f>[0]!PENSIONANN</c:f>
              <c:numCache>
                <c:formatCode>0</c:formatCode>
                <c:ptCount val="35"/>
                <c:pt idx="0">
                  <c:v>0</c:v>
                </c:pt>
                <c:pt idx="1">
                  <c:v>1750.62949193433</c:v>
                </c:pt>
                <c:pt idx="2">
                  <c:v>3499.9186330524089</c:v>
                </c:pt>
                <c:pt idx="3">
                  <c:v>5304.2720493419401</c:v>
                </c:pt>
                <c:pt idx="4">
                  <c:v>7158.3414512498866</c:v>
                </c:pt>
                <c:pt idx="5">
                  <c:v>21472.915938108417</c:v>
                </c:pt>
                <c:pt idx="6">
                  <c:v>26272.08814886017</c:v>
                </c:pt>
                <c:pt idx="7">
                  <c:v>31246.702222746877</c:v>
                </c:pt>
                <c:pt idx="8">
                  <c:v>41725.59616878708</c:v>
                </c:pt>
                <c:pt idx="9">
                  <c:v>47233.291392016356</c:v>
                </c:pt>
                <c:pt idx="10">
                  <c:v>52921.429035509704</c:v>
                </c:pt>
                <c:pt idx="11">
                  <c:v>58789.884610478286</c:v>
                </c:pt>
                <c:pt idx="12">
                  <c:v>64842.4490170668</c:v>
                </c:pt>
                <c:pt idx="13">
                  <c:v>71079.750782663759</c:v>
                </c:pt>
                <c:pt idx="14">
                  <c:v>77502.846460782675</c:v>
                </c:pt>
                <c:pt idx="15">
                  <c:v>84113.228684508387</c:v>
                </c:pt>
                <c:pt idx="16">
                  <c:v>90912.833976060763</c:v>
                </c:pt>
                <c:pt idx="17">
                  <c:v>97907.299185633092</c:v>
                </c:pt>
                <c:pt idx="18">
                  <c:v>105102.5539987891</c:v>
                </c:pt>
                <c:pt idx="19">
                  <c:v>112504.82458966415</c:v>
                </c:pt>
                <c:pt idx="20">
                  <c:v>120120.63760905145</c:v>
                </c:pt>
                <c:pt idx="21">
                  <c:v>127956.82450786309</c:v>
                </c:pt>
                <c:pt idx="22">
                  <c:v>136020.52619683865</c:v>
                </c:pt>
                <c:pt idx="23">
                  <c:v>144319.19804375147</c:v>
                </c:pt>
                <c:pt idx="24">
                  <c:v>152860.61520973605</c:v>
                </c:pt>
                <c:pt idx="25">
                  <c:v>174194.67143326538</c:v>
                </c:pt>
                <c:pt idx="26">
                  <c:v>197552.52100139996</c:v>
                </c:pt>
                <c:pt idx="27">
                  <c:v>223078.47854660312</c:v>
                </c:pt>
                <c:pt idx="28">
                  <c:v>250928.19972289121</c:v>
                </c:pt>
                <c:pt idx="29">
                  <c:v>281269.95470322517</c:v>
                </c:pt>
                <c:pt idx="30">
                  <c:v>302910.3548546941</c:v>
                </c:pt>
                <c:pt idx="31">
                  <c:v>326095.79897451092</c:v>
                </c:pt>
                <c:pt idx="32">
                  <c:v>350967.89441563212</c:v>
                </c:pt>
                <c:pt idx="33">
                  <c:v>377685.96223782713</c:v>
                </c:pt>
                <c:pt idx="34">
                  <c:v>406390.49088737508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8-4DA7-B1DC-72A63B289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582576"/>
        <c:axId val="37858060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Tabular_Output!$A$11</c15:sqref>
                        </c15:formulaRef>
                      </c:ext>
                    </c:extLst>
                    <c:strCache>
                      <c:ptCount val="1"/>
                      <c:pt idx="0">
                        <c:v>Salary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Tabular_Output!$A$12:$A$59</c15:sqref>
                        </c15:formulaRef>
                      </c:ext>
                    </c:extLst>
                    <c:numCache>
                      <c:formatCode>0</c:formatCode>
                      <c:ptCount val="48"/>
                      <c:pt idx="0">
                        <c:v>125000</c:v>
                      </c:pt>
                      <c:pt idx="1">
                        <c:v>132124.99999999997</c:v>
                      </c:pt>
                      <c:pt idx="2">
                        <c:v>139656.12499999994</c:v>
                      </c:pt>
                      <c:pt idx="3">
                        <c:v>147546.69606249992</c:v>
                      </c:pt>
                      <c:pt idx="4">
                        <c:v>155883.08439003114</c:v>
                      </c:pt>
                      <c:pt idx="5">
                        <c:v>164690.47865806788</c:v>
                      </c:pt>
                      <c:pt idx="6">
                        <c:v>173995.49070224867</c:v>
                      </c:pt>
                      <c:pt idx="7">
                        <c:v>183739.23818157456</c:v>
                      </c:pt>
                      <c:pt idx="8">
                        <c:v>204797.2247910884</c:v>
                      </c:pt>
                      <c:pt idx="9">
                        <c:v>216061.07215459819</c:v>
                      </c:pt>
                      <c:pt idx="10">
                        <c:v>227728.37005094645</c:v>
                      </c:pt>
                      <c:pt idx="11">
                        <c:v>240025.70203369751</c:v>
                      </c:pt>
                      <c:pt idx="12">
                        <c:v>252747.0642414834</c:v>
                      </c:pt>
                      <c:pt idx="13">
                        <c:v>265889.91158204048</c:v>
                      </c:pt>
                      <c:pt idx="14">
                        <c:v>279450.2970727245</c:v>
                      </c:pt>
                      <c:pt idx="15">
                        <c:v>293422.81192636065</c:v>
                      </c:pt>
                      <c:pt idx="16">
                        <c:v>308093.95252267865</c:v>
                      </c:pt>
                      <c:pt idx="17">
                        <c:v>323498.65014881251</c:v>
                      </c:pt>
                      <c:pt idx="18">
                        <c:v>339673.58265625307</c:v>
                      </c:pt>
                      <c:pt idx="19">
                        <c:v>356657.26178906567</c:v>
                      </c:pt>
                      <c:pt idx="20">
                        <c:v>374490.12487851887</c:v>
                      </c:pt>
                      <c:pt idx="21">
                        <c:v>393214.63112244476</c:v>
                      </c:pt>
                      <c:pt idx="22">
                        <c:v>412875.36267856695</c:v>
                      </c:pt>
                      <c:pt idx="23">
                        <c:v>433519.13081249525</c:v>
                      </c:pt>
                      <c:pt idx="24">
                        <c:v>455195.08735311992</c:v>
                      </c:pt>
                      <c:pt idx="25">
                        <c:v>477499.64663342264</c:v>
                      </c:pt>
                      <c:pt idx="26">
                        <c:v>500419.62967182684</c:v>
                      </c:pt>
                      <c:pt idx="27">
                        <c:v>523939.35226640257</c:v>
                      </c:pt>
                      <c:pt idx="28">
                        <c:v>548040.56247065694</c:v>
                      </c:pt>
                      <c:pt idx="29">
                        <c:v>572702.38778183633</c:v>
                      </c:pt>
                      <c:pt idx="30">
                        <c:v>597042.23926256422</c:v>
                      </c:pt>
                      <c:pt idx="31">
                        <c:v>622416.53443122306</c:v>
                      </c:pt>
                      <c:pt idx="32">
                        <c:v>648869.23714454984</c:v>
                      </c:pt>
                      <c:pt idx="33">
                        <c:v>676446.17972319305</c:v>
                      </c:pt>
                      <c:pt idx="34">
                        <c:v>705195.14236142859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051-423B-BE07-82A7A994A945}"/>
                  </c:ext>
                </c:extLst>
              </c15:ser>
            </c15:filteredLineSeries>
          </c:ext>
        </c:extLst>
      </c:lineChart>
      <c:dateAx>
        <c:axId val="37858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when you depart UC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580608"/>
        <c:crossesAt val="0"/>
        <c:auto val="0"/>
        <c:lblOffset val="100"/>
        <c:baseTimeUnit val="days"/>
        <c:majorUnit val="5"/>
        <c:minorUnit val="1"/>
      </c:dateAx>
      <c:valAx>
        <c:axId val="37858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58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13</xdr:row>
      <xdr:rowOff>72708</xdr:rowOff>
    </xdr:from>
    <xdr:to>
      <xdr:col>9</xdr:col>
      <xdr:colOff>18097</xdr:colOff>
      <xdr:row>28</xdr:row>
      <xdr:rowOff>63183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28</xdr:row>
      <xdr:rowOff>182880</xdr:rowOff>
    </xdr:from>
    <xdr:to>
      <xdr:col>9</xdr:col>
      <xdr:colOff>7619</xdr:colOff>
      <xdr:row>43</xdr:row>
      <xdr:rowOff>173355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8</xdr:col>
          <xdr:colOff>600075</xdr:colOff>
          <xdr:row>11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Go!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0.18178</cdr:x>
      <cdr:y>0.66965</cdr:y>
    </cdr:from>
    <cdr:to>
      <cdr:x>0.37786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4F50A-ACCC-4634-A6A7-ECBDF40ACFAF}"/>
            </a:ext>
          </a:extLst>
        </cdr:cNvPr>
        <cdr:cNvSpPr txBox="1"/>
      </cdr:nvSpPr>
      <cdr:spPr>
        <a:xfrm xmlns:a="http://schemas.openxmlformats.org/drawingml/2006/main">
          <a:off x="847725" y="185356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0.18178</cdr:x>
      <cdr:y>0.66965</cdr:y>
    </cdr:from>
    <cdr:to>
      <cdr:x>0.37786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4F50A-ACCC-4634-A6A7-ECBDF40ACFAF}"/>
            </a:ext>
          </a:extLst>
        </cdr:cNvPr>
        <cdr:cNvSpPr txBox="1"/>
      </cdr:nvSpPr>
      <cdr:spPr>
        <a:xfrm xmlns:a="http://schemas.openxmlformats.org/drawingml/2006/main">
          <a:off x="847725" y="185356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nate.universityofcalifornia.edu/_files/committees/tfir/excel-sheet-description.pdf" TargetMode="External"/><Relationship Id="rId1" Type="http://schemas.openxmlformats.org/officeDocument/2006/relationships/hyperlink" Target="https://senate.universityofcalifornia.edu/resources/pension-choice-model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nate.universityofcalifornia.edu/_files/committees/tfir/excel-sheet-descrip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DD6D1-876A-45D1-9A64-0603E5198CFF}">
  <sheetPr>
    <tabColor rgb="FFC00000"/>
  </sheetPr>
  <dimension ref="A2:A33"/>
  <sheetViews>
    <sheetView workbookViewId="0">
      <selection activeCell="A16" sqref="A16"/>
    </sheetView>
  </sheetViews>
  <sheetFormatPr defaultRowHeight="15.75" x14ac:dyDescent="0.25"/>
  <cols>
    <col min="1" max="1" width="80.375" customWidth="1"/>
  </cols>
  <sheetData>
    <row r="2" spans="1:1" ht="21" x14ac:dyDescent="0.35">
      <c r="A2" s="8" t="s">
        <v>93</v>
      </c>
    </row>
    <row r="3" spans="1:1" x14ac:dyDescent="0.25">
      <c r="A3" s="5" t="s">
        <v>116</v>
      </c>
    </row>
    <row r="4" spans="1:1" x14ac:dyDescent="0.25">
      <c r="A4" s="41" t="s">
        <v>115</v>
      </c>
    </row>
    <row r="5" spans="1:1" x14ac:dyDescent="0.25">
      <c r="A5" t="s">
        <v>94</v>
      </c>
    </row>
    <row r="6" spans="1:1" x14ac:dyDescent="0.25">
      <c r="A6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102</v>
      </c>
    </row>
    <row r="13" spans="1:1" x14ac:dyDescent="0.25">
      <c r="A13" s="5" t="s">
        <v>103</v>
      </c>
    </row>
    <row r="14" spans="1:1" x14ac:dyDescent="0.25">
      <c r="A14" t="s">
        <v>110</v>
      </c>
    </row>
    <row r="15" spans="1:1" x14ac:dyDescent="0.25">
      <c r="A15" t="s">
        <v>122</v>
      </c>
    </row>
    <row r="16" spans="1:1" x14ac:dyDescent="0.25">
      <c r="A16" t="s">
        <v>111</v>
      </c>
    </row>
    <row r="18" spans="1:1" x14ac:dyDescent="0.25">
      <c r="A18" t="s">
        <v>108</v>
      </c>
    </row>
    <row r="19" spans="1:1" x14ac:dyDescent="0.25">
      <c r="A19" t="s">
        <v>109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104</v>
      </c>
    </row>
    <row r="24" spans="1:1" x14ac:dyDescent="0.25">
      <c r="A24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9" spans="1:1" x14ac:dyDescent="0.25">
      <c r="A29" t="s">
        <v>112</v>
      </c>
    </row>
    <row r="30" spans="1:1" x14ac:dyDescent="0.25">
      <c r="A30" s="41" t="s">
        <v>118</v>
      </c>
    </row>
    <row r="33" spans="1:1" x14ac:dyDescent="0.25">
      <c r="A33" s="39" t="s">
        <v>113</v>
      </c>
    </row>
  </sheetData>
  <hyperlinks>
    <hyperlink ref="A4" r:id="rId1" xr:uid="{E97B2EC0-8188-42B9-9008-88E46CF8C7D2}"/>
    <hyperlink ref="A30" r:id="rId2" xr:uid="{C048002B-1DCD-4C37-B588-B31C43521A0E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37E5-793E-4CB7-932D-0B5CA076AD6F}">
  <sheetPr codeName="Sheet1"/>
  <dimension ref="A1:K49"/>
  <sheetViews>
    <sheetView zoomScale="120" zoomScaleNormal="120" workbookViewId="0">
      <selection activeCell="I6" sqref="I6"/>
    </sheetView>
  </sheetViews>
  <sheetFormatPr defaultColWidth="8.625" defaultRowHeight="15.75" x14ac:dyDescent="0.25"/>
  <cols>
    <col min="2" max="2" width="11.125" customWidth="1"/>
    <col min="3" max="3" width="11.625" customWidth="1"/>
  </cols>
  <sheetData>
    <row r="1" spans="1:11" ht="21" x14ac:dyDescent="0.35">
      <c r="A1" s="8" t="s">
        <v>120</v>
      </c>
    </row>
    <row r="2" spans="1:11" ht="21.75" thickBot="1" x14ac:dyDescent="0.4">
      <c r="A2" s="8"/>
      <c r="B2" s="40" t="s">
        <v>121</v>
      </c>
    </row>
    <row r="3" spans="1:11" ht="16.5" thickBot="1" x14ac:dyDescent="0.3">
      <c r="A3" t="s">
        <v>87</v>
      </c>
      <c r="D3" s="32" t="s">
        <v>92</v>
      </c>
      <c r="F3" t="s">
        <v>43</v>
      </c>
      <c r="I3" s="15">
        <v>6.75</v>
      </c>
    </row>
    <row r="4" spans="1:11" ht="16.5" thickBot="1" x14ac:dyDescent="0.3">
      <c r="A4" t="s">
        <v>52</v>
      </c>
      <c r="D4" s="31">
        <v>35</v>
      </c>
      <c r="E4" s="10"/>
    </row>
    <row r="5" spans="1:11" ht="16.5" thickBot="1" x14ac:dyDescent="0.3">
      <c r="A5" t="s">
        <v>64</v>
      </c>
      <c r="E5" s="11"/>
      <c r="F5" t="s">
        <v>39</v>
      </c>
      <c r="I5" s="16">
        <v>2.5</v>
      </c>
      <c r="J5" s="10"/>
    </row>
    <row r="6" spans="1:11" ht="16.5" thickBot="1" x14ac:dyDescent="0.3">
      <c r="A6" t="s">
        <v>41</v>
      </c>
      <c r="D6" s="9">
        <v>125000</v>
      </c>
      <c r="E6" s="10"/>
      <c r="F6" s="38"/>
      <c r="J6" s="10"/>
      <c r="K6" s="2"/>
    </row>
    <row r="7" spans="1:11" ht="16.5" thickBot="1" x14ac:dyDescent="0.3">
      <c r="A7" t="s">
        <v>40</v>
      </c>
      <c r="F7" t="s">
        <v>79</v>
      </c>
      <c r="I7" s="9">
        <v>6</v>
      </c>
      <c r="J7" s="10"/>
    </row>
    <row r="8" spans="1:11" ht="16.5" thickBot="1" x14ac:dyDescent="0.3">
      <c r="F8" t="s">
        <v>54</v>
      </c>
      <c r="I8" s="10"/>
      <c r="J8" s="10"/>
    </row>
    <row r="9" spans="1:11" ht="16.5" thickBot="1" x14ac:dyDescent="0.3">
      <c r="A9" t="s">
        <v>78</v>
      </c>
      <c r="D9" s="9">
        <v>60</v>
      </c>
      <c r="I9" s="10"/>
      <c r="J9" s="10"/>
    </row>
    <row r="10" spans="1:11" ht="16.5" thickBot="1" x14ac:dyDescent="0.3">
      <c r="A10" t="s">
        <v>63</v>
      </c>
      <c r="D10">
        <f>D4+45</f>
        <v>80</v>
      </c>
      <c r="F10" t="s">
        <v>57</v>
      </c>
      <c r="I10" s="9">
        <v>100</v>
      </c>
      <c r="J10" s="10"/>
    </row>
    <row r="11" spans="1:11" ht="16.5" thickBot="1" x14ac:dyDescent="0.3">
      <c r="A11" t="s">
        <v>42</v>
      </c>
      <c r="D11" s="12" t="s">
        <v>44</v>
      </c>
      <c r="E11" s="13"/>
      <c r="F11" s="14"/>
      <c r="J11" s="10"/>
    </row>
    <row r="12" spans="1:11" x14ac:dyDescent="0.25">
      <c r="A12" s="29" t="s">
        <v>83</v>
      </c>
      <c r="J12" s="10"/>
    </row>
    <row r="13" spans="1:11" x14ac:dyDescent="0.25">
      <c r="A13" s="30" t="s">
        <v>91</v>
      </c>
      <c r="J13" s="10"/>
    </row>
    <row r="14" spans="1:11" x14ac:dyDescent="0.25">
      <c r="J14" s="10"/>
    </row>
    <row r="16" spans="1:11" x14ac:dyDescent="0.25">
      <c r="D16" s="10"/>
      <c r="E16" s="10"/>
      <c r="F16" s="10"/>
    </row>
    <row r="45" spans="1:10" x14ac:dyDescent="0.25">
      <c r="A45" s="17" t="s">
        <v>65</v>
      </c>
      <c r="B45" s="17"/>
      <c r="C45" s="17">
        <f>D9</f>
        <v>60</v>
      </c>
      <c r="D45" s="17" t="s">
        <v>66</v>
      </c>
      <c r="F45" s="17"/>
      <c r="G45" s="17"/>
      <c r="H45" s="17"/>
      <c r="I45" s="17"/>
      <c r="J45" s="17"/>
    </row>
    <row r="46" spans="1:10" x14ac:dyDescent="0.25">
      <c r="A46" s="17" t="s">
        <v>67</v>
      </c>
      <c r="B46" s="17"/>
      <c r="C46" s="17"/>
      <c r="D46" s="17"/>
      <c r="E46" s="17">
        <f>D9</f>
        <v>60</v>
      </c>
      <c r="F46" s="17" t="s">
        <v>68</v>
      </c>
      <c r="H46" s="17"/>
      <c r="I46" s="17"/>
      <c r="J46" s="17"/>
    </row>
    <row r="47" spans="1:10" x14ac:dyDescent="0.25">
      <c r="A47" s="17" t="s">
        <v>69</v>
      </c>
      <c r="B47" s="17"/>
      <c r="C47" s="17"/>
      <c r="D47" s="17">
        <f>D9</f>
        <v>60</v>
      </c>
      <c r="E47" s="17" t="s">
        <v>70</v>
      </c>
      <c r="F47" s="17"/>
      <c r="G47" s="17"/>
      <c r="H47" s="17"/>
      <c r="I47" s="17"/>
      <c r="J47" s="17"/>
    </row>
    <row r="48" spans="1:10" x14ac:dyDescent="0.25">
      <c r="A48" s="17" t="s">
        <v>71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5">
      <c r="A49" s="17" t="s">
        <v>72</v>
      </c>
      <c r="B49" s="17"/>
      <c r="C49" s="17">
        <f>I10</f>
        <v>100</v>
      </c>
      <c r="D49" s="17"/>
      <c r="E49" s="17"/>
      <c r="F49" s="17"/>
      <c r="G49" s="17"/>
      <c r="H49" s="17"/>
      <c r="I49" s="17"/>
      <c r="J49" s="17"/>
    </row>
  </sheetData>
  <dataValidations count="7">
    <dataValidation type="custom" allowBlank="1" showErrorMessage="1" errorTitle="Invalid Inflation Rate" error="The Average Inflation Rate must be strictly greater than 0 and less than the Average Rate of Return." sqref="I5" xr:uid="{CFA5E3D8-3145-4E2E-BF65-A7158DF0BFCC}">
      <formula1>AND(I5&gt;0,I5&lt;I3)</formula1>
    </dataValidation>
    <dataValidation type="whole" allowBlank="1" showErrorMessage="1" errorTitle="Invalid Year of Election" error="The Window to elect the &quot;Second Choice&quot; opens during the fifth year after hiring and closes after the tenth year after hiring." sqref="I7" xr:uid="{43F331A9-A7C2-4662-BCA2-8987FD84406F}">
      <formula1>5</formula1>
      <formula2>10</formula2>
    </dataValidation>
    <dataValidation type="whole" operator="greaterThanOrEqual" allowBlank="1" showErrorMessage="1" errorTitle="Invalid Retirement Age" error="The model does not allow for retirement younger than Age 60 because of the penalties for withdrawing Savings Choice funds before Age 59.5." sqref="D9" xr:uid="{B7A5E38E-3099-4926-B9A9-9840D1226A19}">
      <formula1>60</formula1>
    </dataValidation>
    <dataValidation type="whole" operator="greaterThan" allowBlank="1" showInputMessage="1" showErrorMessage="1" error="Starting age must be greater than 24 years old" sqref="D4" xr:uid="{84256226-A915-4CDB-A64F-4AFFD1D6FB5C}">
      <formula1>24</formula1>
    </dataValidation>
    <dataValidation type="custom" operator="greaterThan" allowBlank="1" showInputMessage="1" showErrorMessage="1" error="The Annuity End Age must be at least 20 years past the minimum retirement age" sqref="I10" xr:uid="{6C44236E-CA05-4A02-BF54-4B9E8F85321C}">
      <formula1>I10&gt;=(20+D9)</formula1>
    </dataValidation>
    <dataValidation allowBlank="1" showInputMessage="1" showErrorMessage="1" prompt="Only include base salary - no summer salary for regular faculty or &quot;Y&quot; negotiated component for those on the Health Sciences Compensation Plan" sqref="D6" xr:uid="{30F4039E-61CC-462D-9582-FB1DBC78A728}"/>
    <dataValidation type="custom" allowBlank="1" showInputMessage="1" showErrorMessage="1" errorTitle="Invalid Rate of Return" error="The Average Rate of Return must be strictly greater than 0 and strictly greater than the Average Inflation Rate." sqref="I3" xr:uid="{ACB671EF-4988-4C3E-987C-0381B45148DE}">
      <formula1>I3&gt;0</formula1>
    </dataValidation>
  </dataValidations>
  <printOptions gridLines="1"/>
  <pageMargins left="0.7" right="0.7" top="0.5" bottom="0.5" header="0.3" footer="0.3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ange_Select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8D40E-72C7-4D4A-9064-E3C9C828AF87}">
  <sheetPr codeName="Sheet2">
    <pageSetUpPr fitToPage="1"/>
  </sheetPr>
  <dimension ref="A1:T65"/>
  <sheetViews>
    <sheetView zoomScaleNormal="100" workbookViewId="0">
      <selection activeCell="A12" sqref="A12:H46"/>
    </sheetView>
  </sheetViews>
  <sheetFormatPr defaultColWidth="8.625" defaultRowHeight="15.75" x14ac:dyDescent="0.25"/>
  <cols>
    <col min="2" max="2" width="11" customWidth="1"/>
    <col min="3" max="3" width="9.125" customWidth="1"/>
    <col min="4" max="4" width="8.625" bestFit="1" customWidth="1"/>
    <col min="7" max="9" width="11.125" bestFit="1" customWidth="1"/>
    <col min="17" max="17" width="11.125" bestFit="1" customWidth="1"/>
  </cols>
  <sheetData>
    <row r="1" spans="1:20" ht="21.75" thickBot="1" x14ac:dyDescent="0.4">
      <c r="A1" s="43" t="s">
        <v>82</v>
      </c>
      <c r="K1" s="23" t="s">
        <v>75</v>
      </c>
      <c r="M1" t="s">
        <v>55</v>
      </c>
      <c r="O1" t="s">
        <v>56</v>
      </c>
      <c r="R1" t="s">
        <v>13</v>
      </c>
    </row>
    <row r="2" spans="1:20" ht="32.25" thickBot="1" x14ac:dyDescent="0.3">
      <c r="A2" t="s">
        <v>87</v>
      </c>
      <c r="D2" s="32" t="s">
        <v>114</v>
      </c>
      <c r="F2" t="s">
        <v>43</v>
      </c>
      <c r="I2" s="15">
        <v>6.75</v>
      </c>
      <c r="K2">
        <f>MAX(70,(Home_Page!$D$9+5))-(Home_Page!D4)+2</f>
        <v>37</v>
      </c>
      <c r="L2" s="21" t="s">
        <v>2</v>
      </c>
      <c r="M2" s="21" t="s">
        <v>0</v>
      </c>
      <c r="N2" s="21" t="s">
        <v>31</v>
      </c>
      <c r="O2" s="21" t="s">
        <v>32</v>
      </c>
      <c r="P2" s="21" t="s">
        <v>33</v>
      </c>
      <c r="Q2" s="22" t="s">
        <v>31</v>
      </c>
      <c r="R2" s="22" t="s">
        <v>32</v>
      </c>
      <c r="S2" s="22" t="s">
        <v>33</v>
      </c>
    </row>
    <row r="3" spans="1:20" ht="16.5" thickBot="1" x14ac:dyDescent="0.3">
      <c r="A3" t="s">
        <v>52</v>
      </c>
      <c r="D3" s="9">
        <v>35</v>
      </c>
      <c r="E3" s="10"/>
      <c r="L3" s="1">
        <f>Sheet1!D3</f>
        <v>125000</v>
      </c>
      <c r="M3" s="1">
        <f>Sheet1!A3</f>
        <v>35</v>
      </c>
      <c r="N3" s="7">
        <f>Sheet1!AB3</f>
        <v>0</v>
      </c>
      <c r="O3" s="7">
        <f>Sheet1!AA3</f>
        <v>0</v>
      </c>
      <c r="P3" s="7">
        <f>Sheet1!AC3</f>
        <v>0</v>
      </c>
      <c r="Q3" s="27">
        <f>Sheet1!Q3</f>
        <v>0</v>
      </c>
      <c r="R3" s="1">
        <f>Sheet1!Y3</f>
        <v>0</v>
      </c>
      <c r="S3" s="1">
        <f>Sheet1!AP3</f>
        <v>0</v>
      </c>
      <c r="T3" s="1"/>
    </row>
    <row r="4" spans="1:20" ht="16.5" thickBot="1" x14ac:dyDescent="0.3">
      <c r="E4" s="11"/>
      <c r="F4" t="s">
        <v>39</v>
      </c>
      <c r="I4" s="16">
        <v>2.5</v>
      </c>
      <c r="L4" s="1">
        <f>Sheet1!D4</f>
        <v>132124.99999999997</v>
      </c>
      <c r="M4" s="1">
        <f>Sheet1!A4</f>
        <v>36</v>
      </c>
      <c r="N4" s="7">
        <f>Sheet1!AB4</f>
        <v>1.1537665106057729E-2</v>
      </c>
      <c r="O4" s="7">
        <f>Sheet1!AA4</f>
        <v>3.8458883686859086E-3</v>
      </c>
      <c r="P4" s="7">
        <f>Sheet1!AC4</f>
        <v>1.1537665106057729E-2</v>
      </c>
      <c r="Q4" s="27">
        <f>Sheet1!Q4</f>
        <v>5251.8884758029917</v>
      </c>
      <c r="R4" s="1">
        <f>Sheet1!Y4</f>
        <v>1750.62949193433</v>
      </c>
      <c r="S4" s="1">
        <f>Sheet1!AP4</f>
        <v>5251.8884758029917</v>
      </c>
      <c r="T4" s="1"/>
    </row>
    <row r="5" spans="1:20" ht="16.5" thickBot="1" x14ac:dyDescent="0.3">
      <c r="A5" t="s">
        <v>41</v>
      </c>
      <c r="D5" s="9">
        <f>Home_Page!$D$6</f>
        <v>125000</v>
      </c>
      <c r="E5" s="10"/>
      <c r="L5" s="1">
        <f>Sheet1!D5</f>
        <v>139656.12499999994</v>
      </c>
      <c r="M5" s="1">
        <f>Sheet1!A5</f>
        <v>37</v>
      </c>
      <c r="N5" s="7">
        <f>Sheet1!AB5</f>
        <v>2.2961844981564065E-2</v>
      </c>
      <c r="O5" s="7">
        <f>Sheet1!AA5</f>
        <v>7.6888321739231099E-3</v>
      </c>
      <c r="P5" s="7">
        <f>Sheet1!AC5</f>
        <v>2.2961844981564065E-2</v>
      </c>
      <c r="Q5" s="27">
        <f>Sheet1!Q5</f>
        <v>10452.119032171853</v>
      </c>
      <c r="R5" s="1">
        <f>Sheet1!Y5</f>
        <v>3499.9186330524089</v>
      </c>
      <c r="S5" s="1">
        <f>Sheet1!AP5</f>
        <v>10452.119032171853</v>
      </c>
      <c r="T5" s="1"/>
    </row>
    <row r="6" spans="1:20" ht="16.5" thickBot="1" x14ac:dyDescent="0.3">
      <c r="A6" t="s">
        <v>40</v>
      </c>
      <c r="F6" t="str">
        <f>Home_Page!F7</f>
        <v>Year of Second Choice Election</v>
      </c>
      <c r="I6" s="9">
        <f>Home_Page!$I$7</f>
        <v>6</v>
      </c>
      <c r="L6" s="1">
        <f>Sheet1!D6</f>
        <v>147546.69606249992</v>
      </c>
      <c r="M6" s="1">
        <f>Sheet1!A6</f>
        <v>38</v>
      </c>
      <c r="N6" s="7">
        <f>Sheet1!AB6</f>
        <v>3.4273655874688384E-2</v>
      </c>
      <c r="O6" s="7">
        <f>Sheet1!AA6</f>
        <v>1.1652744497277765E-2</v>
      </c>
      <c r="P6" s="7">
        <f>Sheet1!AC6</f>
        <v>3.4273655874688384E-2</v>
      </c>
      <c r="Q6" s="27">
        <f>Sheet1!Q6</f>
        <v>15601.199779789549</v>
      </c>
      <c r="R6" s="1">
        <f>Sheet1!Y6</f>
        <v>5304.2720493419401</v>
      </c>
      <c r="S6" s="1">
        <f>Sheet1!AP6</f>
        <v>15601.199779789549</v>
      </c>
      <c r="T6" s="1"/>
    </row>
    <row r="7" spans="1:20" ht="16.5" thickBot="1" x14ac:dyDescent="0.3">
      <c r="A7" t="str">
        <f>Home_Page!A9</f>
        <v>Minimum Retirement Age</v>
      </c>
      <c r="D7" s="9">
        <f>Home_Page!D9</f>
        <v>60</v>
      </c>
      <c r="F7" t="s">
        <v>57</v>
      </c>
      <c r="I7" s="9">
        <f>Home_Page!I10</f>
        <v>100</v>
      </c>
      <c r="L7" s="1">
        <f>Sheet1!D7</f>
        <v>155883.08439003114</v>
      </c>
      <c r="M7" s="1">
        <f>Sheet1!A7</f>
        <v>39</v>
      </c>
      <c r="N7" s="7">
        <f>Sheet1!AB7</f>
        <v>4.5468904782028745E-2</v>
      </c>
      <c r="O7" s="7">
        <f>Sheet1!AA7</f>
        <v>1.5725875893947788E-2</v>
      </c>
      <c r="P7" s="7">
        <f>Sheet1!AC7</f>
        <v>4.5468904782028745E-2</v>
      </c>
      <c r="Q7" s="27">
        <f>Sheet1!Q7</f>
        <v>20697.222084106266</v>
      </c>
      <c r="R7" s="1">
        <f>Sheet1!Y7</f>
        <v>7158.3414512498866</v>
      </c>
      <c r="S7" s="1">
        <f>Sheet1!AP7</f>
        <v>20697.222084106266</v>
      </c>
      <c r="T7" s="1"/>
    </row>
    <row r="8" spans="1:20" ht="16.5" thickBot="1" x14ac:dyDescent="0.3">
      <c r="A8" t="s">
        <v>42</v>
      </c>
      <c r="D8" s="12" t="str">
        <f>Home_Page!$D$11</f>
        <v>Your Name Here</v>
      </c>
      <c r="E8" s="13"/>
      <c r="F8" s="14"/>
      <c r="L8" s="1">
        <f>Sheet1!D8</f>
        <v>164690.47865806788</v>
      </c>
      <c r="M8" s="1">
        <f>Sheet1!A8</f>
        <v>40</v>
      </c>
      <c r="N8" s="7">
        <f>Sheet1!AB8</f>
        <v>5.6548792810698606E-2</v>
      </c>
      <c r="O8" s="7">
        <f>Sheet1!AA8</f>
        <v>4.7172995787300082E-2</v>
      </c>
      <c r="P8" s="7">
        <f>Sheet1!AC8</f>
        <v>5.6548792810698606E-2</v>
      </c>
      <c r="Q8" s="27">
        <f>Sheet1!Q8</f>
        <v>25740.732683179431</v>
      </c>
      <c r="R8" s="1">
        <f>Sheet1!Y8</f>
        <v>21472.915938108417</v>
      </c>
      <c r="S8" s="1">
        <f>Sheet1!AP8</f>
        <v>25740.732683179431</v>
      </c>
      <c r="T8" s="1"/>
    </row>
    <row r="9" spans="1:20" x14ac:dyDescent="0.25">
      <c r="A9" s="5" t="str">
        <f>Sheet1!A1</f>
        <v>The information below is only valid for UC employees first hired after July 1, 2016</v>
      </c>
      <c r="L9" s="1">
        <f>Sheet1!D9</f>
        <v>173995.49070224867</v>
      </c>
      <c r="M9" s="1">
        <f>Sheet1!A9</f>
        <v>41</v>
      </c>
      <c r="N9" s="7">
        <f>Sheet1!AB9</f>
        <v>6.7514508691063679E-2</v>
      </c>
      <c r="O9" s="7">
        <f>Sheet1!AA9</f>
        <v>5.7716106519575559E-2</v>
      </c>
      <c r="P9" s="7">
        <f>Sheet1!AC9</f>
        <v>6.7514508691063679E-2</v>
      </c>
      <c r="Q9" s="27">
        <f>Sheet1!Q9</f>
        <v>30732.272681231705</v>
      </c>
      <c r="R9" s="1">
        <f>Sheet1!Y9</f>
        <v>26272.08814886017</v>
      </c>
      <c r="S9" s="1">
        <f>Sheet1!AP9</f>
        <v>30732.272681231705</v>
      </c>
      <c r="T9" s="1"/>
    </row>
    <row r="10" spans="1:20" x14ac:dyDescent="0.25">
      <c r="C10" t="s">
        <v>53</v>
      </c>
      <c r="G10" t="s">
        <v>13</v>
      </c>
      <c r="L10" s="1">
        <f>Sheet1!D10</f>
        <v>183739.23818157456</v>
      </c>
      <c r="M10" s="1">
        <f>Sheet1!A10</f>
        <v>42</v>
      </c>
      <c r="N10" s="7">
        <f>Sheet1!AB10</f>
        <v>7.8367228904277469E-2</v>
      </c>
      <c r="O10" s="7">
        <f>Sheet1!AA10</f>
        <v>6.8644638509701414E-2</v>
      </c>
      <c r="P10" s="7">
        <f>Sheet1!AC10</f>
        <v>7.7604430698648919E-2</v>
      </c>
      <c r="Q10" s="27">
        <f>Sheet1!Q10</f>
        <v>35672.377606704526</v>
      </c>
      <c r="R10" s="1">
        <f>Sheet1!Y10</f>
        <v>31246.702222746877</v>
      </c>
      <c r="S10" s="1">
        <f>Sheet1!AP10</f>
        <v>35325.155610860638</v>
      </c>
      <c r="T10" s="1"/>
    </row>
    <row r="11" spans="1:20" ht="31.5" x14ac:dyDescent="0.25">
      <c r="A11" s="1" t="s">
        <v>2</v>
      </c>
      <c r="B11" s="21" t="s">
        <v>73</v>
      </c>
      <c r="C11" s="21" t="s">
        <v>31</v>
      </c>
      <c r="D11" s="21" t="s">
        <v>32</v>
      </c>
      <c r="E11" s="21" t="s">
        <v>33</v>
      </c>
      <c r="F11" s="22" t="s">
        <v>31</v>
      </c>
      <c r="G11" s="22" t="s">
        <v>32</v>
      </c>
      <c r="H11" s="22" t="s">
        <v>33</v>
      </c>
      <c r="L11" s="1">
        <f>Sheet1!D12</f>
        <v>204797.2247910884</v>
      </c>
      <c r="M11" s="1">
        <f>Sheet1!A12</f>
        <v>44</v>
      </c>
      <c r="N11" s="7">
        <f>Sheet1!AB12</f>
        <v>9.9723185180796467E-2</v>
      </c>
      <c r="O11" s="7">
        <f>Sheet1!AA12</f>
        <v>9.1665304235628173E-2</v>
      </c>
      <c r="P11" s="7">
        <f>Sheet1!AC12</f>
        <v>9.8884456579564739E-2</v>
      </c>
      <c r="Q11" s="27">
        <f>Sheet1!Q12</f>
        <v>45393.503989504003</v>
      </c>
      <c r="R11" s="1">
        <f>Sheet1!Y12</f>
        <v>41725.59616878708</v>
      </c>
      <c r="S11" s="1">
        <f>Sheet1!AP12</f>
        <v>45011.718850600766</v>
      </c>
      <c r="T11" s="1"/>
    </row>
    <row r="12" spans="1:20" x14ac:dyDescent="0.25">
      <c r="A12" s="33">
        <v>125000</v>
      </c>
      <c r="B12" s="33">
        <v>35</v>
      </c>
      <c r="C12" s="34">
        <v>0</v>
      </c>
      <c r="D12" s="34">
        <v>0</v>
      </c>
      <c r="E12" s="34">
        <v>0</v>
      </c>
      <c r="F12" s="33">
        <v>0</v>
      </c>
      <c r="G12" s="33">
        <v>0</v>
      </c>
      <c r="H12" s="33">
        <v>0</v>
      </c>
      <c r="I12" s="1"/>
      <c r="L12" s="1">
        <f>Sheet1!D13</f>
        <v>216061.07215459819</v>
      </c>
      <c r="M12" s="1">
        <f>Sheet1!A13</f>
        <v>45</v>
      </c>
      <c r="N12" s="7">
        <f>Sheet1!AB13</f>
        <v>0.11022395236830648</v>
      </c>
      <c r="O12" s="7">
        <f>Sheet1!AA13</f>
        <v>0.10376494102049676</v>
      </c>
      <c r="P12" s="7">
        <f>Sheet1!AC13</f>
        <v>0.11008100213620393</v>
      </c>
      <c r="Q12" s="27">
        <f>Sheet1!Q13</f>
        <v>50173.401626697399</v>
      </c>
      <c r="R12" s="1">
        <f>Sheet1!Y13</f>
        <v>47233.291392016356</v>
      </c>
      <c r="S12" s="1">
        <f>Sheet1!AP13</f>
        <v>50108.33138330833</v>
      </c>
      <c r="T12" s="1"/>
    </row>
    <row r="13" spans="1:20" x14ac:dyDescent="0.25">
      <c r="A13" s="33">
        <v>132124.99999999997</v>
      </c>
      <c r="B13" s="33">
        <v>36</v>
      </c>
      <c r="C13" s="34">
        <v>1.1537665106057729E-2</v>
      </c>
      <c r="D13" s="34">
        <v>3.8458883686859086E-3</v>
      </c>
      <c r="E13" s="34">
        <v>1.1537665106057729E-2</v>
      </c>
      <c r="F13" s="33">
        <v>5251.8884758029917</v>
      </c>
      <c r="G13" s="33">
        <v>1750.62949193433</v>
      </c>
      <c r="H13" s="33">
        <v>5251.8884758029917</v>
      </c>
      <c r="I13" s="1"/>
      <c r="L13" s="1">
        <f>Sheet1!D14</f>
        <v>227728.37005094645</v>
      </c>
      <c r="M13" s="1">
        <f>Sheet1!A14</f>
        <v>46</v>
      </c>
      <c r="N13" s="7">
        <f>Sheet1!AB14</f>
        <v>0.12060175975268411</v>
      </c>
      <c r="O13" s="7">
        <f>Sheet1!AA14</f>
        <v>0.11626098458847302</v>
      </c>
      <c r="P13" s="7">
        <f>Sheet1!AC14</f>
        <v>0.12165137719524503</v>
      </c>
      <c r="Q13" s="27">
        <f>Sheet1!Q14</f>
        <v>54897.328565563024</v>
      </c>
      <c r="R13" s="1">
        <f>Sheet1!Y14</f>
        <v>52921.429035509704</v>
      </c>
      <c r="S13" s="1">
        <f>Sheet1!AP14</f>
        <v>55375.109269016903</v>
      </c>
      <c r="T13" s="1"/>
    </row>
    <row r="14" spans="1:20" x14ac:dyDescent="0.25">
      <c r="A14" s="33">
        <v>139656.12499999994</v>
      </c>
      <c r="B14" s="33">
        <v>37</v>
      </c>
      <c r="C14" s="34">
        <v>2.2961844981564065E-2</v>
      </c>
      <c r="D14" s="34">
        <v>7.6888321739231099E-3</v>
      </c>
      <c r="E14" s="34">
        <v>2.2961844981564065E-2</v>
      </c>
      <c r="F14" s="33">
        <v>10452.119032171853</v>
      </c>
      <c r="G14" s="33">
        <v>3499.9186330524089</v>
      </c>
      <c r="H14" s="33">
        <v>10452.119032171853</v>
      </c>
      <c r="I14" s="1"/>
      <c r="L14" s="1">
        <f>Sheet1!D15</f>
        <v>240025.70203369751</v>
      </c>
      <c r="M14" s="1">
        <f>Sheet1!A15</f>
        <v>47</v>
      </c>
      <c r="N14" s="7">
        <f>Sheet1!AB15</f>
        <v>0.13084832554484707</v>
      </c>
      <c r="O14" s="7">
        <f>Sheet1!AA15</f>
        <v>0.1291531614550834</v>
      </c>
      <c r="P14" s="7">
        <f>Sheet1!AC15</f>
        <v>0.13359474384019684</v>
      </c>
      <c r="Q14" s="27">
        <f>Sheet1!Q15</f>
        <v>59561.514976396138</v>
      </c>
      <c r="R14" s="1">
        <f>Sheet1!Y15</f>
        <v>58789.884610478286</v>
      </c>
      <c r="S14" s="1">
        <f>Sheet1!AP15</f>
        <v>60811.671092256081</v>
      </c>
      <c r="T14" s="1"/>
    </row>
    <row r="15" spans="1:20" x14ac:dyDescent="0.25">
      <c r="A15" s="33">
        <v>147546.69606249992</v>
      </c>
      <c r="B15" s="33">
        <v>38</v>
      </c>
      <c r="C15" s="34">
        <v>3.4273655874688384E-2</v>
      </c>
      <c r="D15" s="34">
        <v>1.1652744497277765E-2</v>
      </c>
      <c r="E15" s="34">
        <v>3.4273655874688384E-2</v>
      </c>
      <c r="F15" s="33">
        <v>15601.199779789549</v>
      </c>
      <c r="G15" s="33">
        <v>5304.2720493419401</v>
      </c>
      <c r="H15" s="33">
        <v>15601.199779789549</v>
      </c>
      <c r="I15" s="1"/>
      <c r="L15" s="1">
        <f>Sheet1!D16</f>
        <v>252747.0642414834</v>
      </c>
      <c r="M15" s="1">
        <f>Sheet1!A16</f>
        <v>48</v>
      </c>
      <c r="N15" s="7">
        <f>Sheet1!AB16</f>
        <v>0.14096530947453306</v>
      </c>
      <c r="O15" s="7">
        <f>Sheet1!AA16</f>
        <v>0.14244979969822244</v>
      </c>
      <c r="P15" s="7">
        <f>Sheet1!AC16</f>
        <v>0.14591885160613588</v>
      </c>
      <c r="Q15" s="27">
        <f>Sheet1!Q16</f>
        <v>64166.716360019665</v>
      </c>
      <c r="R15" s="1">
        <f>Sheet1!Y16</f>
        <v>64842.4490170668</v>
      </c>
      <c r="S15" s="1">
        <f>Sheet1!AP16</f>
        <v>66421.544403321968</v>
      </c>
      <c r="T15" s="1"/>
    </row>
    <row r="16" spans="1:20" x14ac:dyDescent="0.25">
      <c r="A16" s="33">
        <v>155883.08439003114</v>
      </c>
      <c r="B16" s="33">
        <v>39</v>
      </c>
      <c r="C16" s="34">
        <v>4.5468904782028745E-2</v>
      </c>
      <c r="D16" s="34">
        <v>1.5725875893947788E-2</v>
      </c>
      <c r="E16" s="34">
        <v>4.5468904782028745E-2</v>
      </c>
      <c r="F16" s="33">
        <v>20697.222084106266</v>
      </c>
      <c r="G16" s="33">
        <v>7158.3414512498866</v>
      </c>
      <c r="H16" s="33">
        <v>20697.222084106266</v>
      </c>
      <c r="I16" s="1"/>
      <c r="L16" s="1">
        <f>Sheet1!D17</f>
        <v>265889.91158204048</v>
      </c>
      <c r="M16" s="1">
        <f>Sheet1!A17</f>
        <v>49</v>
      </c>
      <c r="N16" s="7">
        <f>Sheet1!AB17</f>
        <v>0.15094487301360504</v>
      </c>
      <c r="O16" s="7">
        <f>Sheet1!AA17</f>
        <v>0.15615228010473514</v>
      </c>
      <c r="P16" s="7">
        <f>Sheet1!AC17</f>
        <v>0.1586244882735186</v>
      </c>
      <c r="Q16" s="27">
        <f>Sheet1!Q17</f>
        <v>68709.36465693354</v>
      </c>
      <c r="R16" s="1">
        <f>Sheet1!Y17</f>
        <v>71079.750782663759</v>
      </c>
      <c r="S16" s="1">
        <f>Sheet1!AP17</f>
        <v>72205.087796008243</v>
      </c>
      <c r="T16" s="1"/>
    </row>
    <row r="17" spans="1:20" x14ac:dyDescent="0.25">
      <c r="A17" s="33">
        <v>164690.47865806788</v>
      </c>
      <c r="B17" s="33">
        <v>40</v>
      </c>
      <c r="C17" s="34">
        <v>5.6548792810698606E-2</v>
      </c>
      <c r="D17" s="34">
        <v>4.7172995787300082E-2</v>
      </c>
      <c r="E17" s="34">
        <v>5.6548792810698606E-2</v>
      </c>
      <c r="F17" s="33">
        <v>25740.732683179431</v>
      </c>
      <c r="G17" s="33">
        <v>21472.915938108417</v>
      </c>
      <c r="H17" s="33">
        <v>25740.732683179431</v>
      </c>
      <c r="I17" s="1"/>
      <c r="L17" s="1">
        <f>Sheet1!D18</f>
        <v>279450.2970727245</v>
      </c>
      <c r="M17" s="1">
        <f>Sheet1!A18</f>
        <v>50</v>
      </c>
      <c r="N17" s="7">
        <f>Sheet1!AB18</f>
        <v>0.16077953422494343</v>
      </c>
      <c r="O17" s="7">
        <f>Sheet1!AA18</f>
        <v>0.17026292377505262</v>
      </c>
      <c r="P17" s="7">
        <f>Sheet1!AC18</f>
        <v>0.17171336711122781</v>
      </c>
      <c r="Q17" s="27">
        <f>Sheet1!Q18</f>
        <v>73186.054126117058</v>
      </c>
      <c r="R17" s="1">
        <f>Sheet1!Y18</f>
        <v>77502.846460782675</v>
      </c>
      <c r="S17" s="1">
        <f>Sheet1!AP18</f>
        <v>78163.081141893694</v>
      </c>
      <c r="T17" s="1"/>
    </row>
    <row r="18" spans="1:20" x14ac:dyDescent="0.25">
      <c r="A18" s="33">
        <v>173995.49070224867</v>
      </c>
      <c r="B18" s="33">
        <v>41</v>
      </c>
      <c r="C18" s="34">
        <v>6.7514508691063679E-2</v>
      </c>
      <c r="D18" s="34">
        <v>5.7716106519575559E-2</v>
      </c>
      <c r="E18" s="34">
        <v>6.7514508691063679E-2</v>
      </c>
      <c r="F18" s="33">
        <v>30732.272681231705</v>
      </c>
      <c r="G18" s="33">
        <v>26272.08814886017</v>
      </c>
      <c r="H18" s="33">
        <v>30732.272681231705</v>
      </c>
      <c r="I18" s="1"/>
      <c r="L18" s="1">
        <f>Sheet1!D19</f>
        <v>293422.81192636065</v>
      </c>
      <c r="M18" s="1">
        <f>Sheet1!A19</f>
        <v>51</v>
      </c>
      <c r="N18" s="7">
        <f>Sheet1!AB19</f>
        <v>0.17046218427938523</v>
      </c>
      <c r="O18" s="7">
        <f>Sheet1!AA19</f>
        <v>0.18478500981548845</v>
      </c>
      <c r="P18" s="7">
        <f>Sheet1!AC19</f>
        <v>0.18518814419824017</v>
      </c>
      <c r="Q18" s="27">
        <f>Sheet1!Q19</f>
        <v>77593.548863458389</v>
      </c>
      <c r="R18" s="1">
        <f>Sheet1!Y19</f>
        <v>84113.228684508387</v>
      </c>
      <c r="S18" s="1">
        <f>Sheet1!AP19</f>
        <v>84296.733475080109</v>
      </c>
      <c r="T18" s="1"/>
    </row>
    <row r="19" spans="1:20" x14ac:dyDescent="0.25">
      <c r="A19" s="33">
        <v>183739.23818157456</v>
      </c>
      <c r="B19" s="33">
        <v>42</v>
      </c>
      <c r="C19" s="34">
        <v>7.8367228904277469E-2</v>
      </c>
      <c r="D19" s="34">
        <v>6.8644638509701414E-2</v>
      </c>
      <c r="E19" s="34">
        <v>7.7604430698648919E-2</v>
      </c>
      <c r="F19" s="33">
        <v>35672.377606704526</v>
      </c>
      <c r="G19" s="33">
        <v>31246.702222746877</v>
      </c>
      <c r="H19" s="33">
        <v>35325.155610860638</v>
      </c>
      <c r="I19" s="1"/>
      <c r="L19" s="1">
        <f>Sheet1!D20</f>
        <v>308093.95252267865</v>
      </c>
      <c r="M19" s="1">
        <f>Sheet1!A20</f>
        <v>52</v>
      </c>
      <c r="N19" s="7">
        <f>Sheet1!AB20</f>
        <v>0.17998610236572146</v>
      </c>
      <c r="O19" s="7">
        <f>Sheet1!AA20</f>
        <v>0.19972279249475877</v>
      </c>
      <c r="P19" s="7">
        <f>Sheet1!AC20</f>
        <v>0.19905243520025145</v>
      </c>
      <c r="Q19" s="27">
        <f>Sheet1!Q20</f>
        <v>81928.78958871217</v>
      </c>
      <c r="R19" s="1">
        <f>Sheet1!Y20</f>
        <v>90912.833976060763</v>
      </c>
      <c r="S19" s="1">
        <f>Sheet1!AP20</f>
        <v>90607.690628829703</v>
      </c>
      <c r="T19" s="1"/>
    </row>
    <row r="20" spans="1:20" x14ac:dyDescent="0.25">
      <c r="A20" s="33">
        <v>204797.2247910884</v>
      </c>
      <c r="B20" s="33">
        <v>44</v>
      </c>
      <c r="C20" s="34">
        <v>9.9723185180796467E-2</v>
      </c>
      <c r="D20" s="34">
        <v>9.1665304235628173E-2</v>
      </c>
      <c r="E20" s="34">
        <v>9.8884456579564739E-2</v>
      </c>
      <c r="F20" s="33">
        <v>45393.503989504003</v>
      </c>
      <c r="G20" s="33">
        <v>41725.59616878708</v>
      </c>
      <c r="H20" s="33">
        <v>45011.718850600766</v>
      </c>
      <c r="I20" s="1"/>
      <c r="L20" s="1">
        <f>Sheet1!D21</f>
        <v>323498.65014881251</v>
      </c>
      <c r="M20" s="1">
        <f>Sheet1!A21</f>
        <v>53</v>
      </c>
      <c r="N20" s="7">
        <f>Sheet1!AB21</f>
        <v>0.18935389064736363</v>
      </c>
      <c r="O20" s="7">
        <f>Sheet1!AA21</f>
        <v>0.21508865518507014</v>
      </c>
      <c r="P20" s="7">
        <f>Sheet1!AC21</f>
        <v>0.21331796892137231</v>
      </c>
      <c r="Q20" s="27">
        <f>Sheet1!Q21</f>
        <v>86192.9607938798</v>
      </c>
      <c r="R20" s="1">
        <f>Sheet1!Y21</f>
        <v>97907.299185633092</v>
      </c>
      <c r="S20" s="1">
        <f>Sheet1!AP21</f>
        <v>97101.29149715419</v>
      </c>
      <c r="T20" s="1"/>
    </row>
    <row r="21" spans="1:20" x14ac:dyDescent="0.25">
      <c r="A21" s="33">
        <v>216061.07215459819</v>
      </c>
      <c r="B21" s="33">
        <v>45</v>
      </c>
      <c r="C21" s="34">
        <v>0.11022395236830648</v>
      </c>
      <c r="D21" s="34">
        <v>0.10376494102049676</v>
      </c>
      <c r="E21" s="34">
        <v>0.11008100213620393</v>
      </c>
      <c r="F21" s="33">
        <v>50173.401626697399</v>
      </c>
      <c r="G21" s="33">
        <v>47233.291392016356</v>
      </c>
      <c r="H21" s="33">
        <v>50108.33138330833</v>
      </c>
      <c r="I21" s="1"/>
      <c r="L21" s="1">
        <f>Sheet1!D22</f>
        <v>339673.58265625307</v>
      </c>
      <c r="M21" s="1">
        <f>Sheet1!A22</f>
        <v>54</v>
      </c>
      <c r="N21" s="7">
        <f>Sheet1!AB22</f>
        <v>0.19856810862930679</v>
      </c>
      <c r="O21" s="7">
        <f>Sheet1!AA22</f>
        <v>0.23089562457701845</v>
      </c>
      <c r="P21" s="7">
        <f>Sheet1!AC22</f>
        <v>0.22799710111990035</v>
      </c>
      <c r="Q21" s="27">
        <f>Sheet1!Q22</f>
        <v>90387.227553061108</v>
      </c>
      <c r="R21" s="1">
        <f>Sheet1!Y22</f>
        <v>105102.5539987891</v>
      </c>
      <c r="S21" s="1">
        <f>Sheet1!AP22</f>
        <v>103783.16036053115</v>
      </c>
      <c r="T21" s="1"/>
    </row>
    <row r="22" spans="1:20" x14ac:dyDescent="0.25">
      <c r="A22" s="33">
        <v>227728.37005094645</v>
      </c>
      <c r="B22" s="33">
        <v>46</v>
      </c>
      <c r="C22" s="34">
        <v>0.12060175975268411</v>
      </c>
      <c r="D22" s="34">
        <v>0.11626098458847302</v>
      </c>
      <c r="E22" s="34">
        <v>0.12165137719524503</v>
      </c>
      <c r="F22" s="33">
        <v>54897.328565563024</v>
      </c>
      <c r="G22" s="33">
        <v>52921.429035509704</v>
      </c>
      <c r="H22" s="33">
        <v>55375.109269016903</v>
      </c>
      <c r="I22" s="1"/>
      <c r="L22" s="1">
        <f>Sheet1!D23</f>
        <v>356657.26178906567</v>
      </c>
      <c r="M22" s="1">
        <f>Sheet1!A23</f>
        <v>55</v>
      </c>
      <c r="N22" s="7">
        <f>Sheet1!AB23</f>
        <v>0.20763127385744756</v>
      </c>
      <c r="O22" s="7">
        <f>Sheet1!AA23</f>
        <v>0.24715737870516152</v>
      </c>
      <c r="P22" s="7">
        <f>Sheet1!AC23</f>
        <v>0.24310282212478765</v>
      </c>
      <c r="Q22" s="27">
        <f>Sheet1!Q23</f>
        <v>94512.735840780413</v>
      </c>
      <c r="R22" s="1">
        <f>Sheet1!Y23</f>
        <v>112504.82458966415</v>
      </c>
      <c r="S22" s="1">
        <f>Sheet1!AP23</f>
        <v>110659.21035288268</v>
      </c>
      <c r="T22" s="1"/>
    </row>
    <row r="23" spans="1:20" x14ac:dyDescent="0.25">
      <c r="A23" s="33">
        <v>240025.70203369751</v>
      </c>
      <c r="B23" s="33">
        <v>47</v>
      </c>
      <c r="C23" s="34">
        <v>0.13084832554484707</v>
      </c>
      <c r="D23" s="34">
        <v>0.1291531614550834</v>
      </c>
      <c r="E23" s="34">
        <v>0.13359474384019684</v>
      </c>
      <c r="F23" s="33">
        <v>59561.514976396138</v>
      </c>
      <c r="G23" s="33">
        <v>58789.884610478286</v>
      </c>
      <c r="H23" s="33">
        <v>60811.671092256081</v>
      </c>
      <c r="I23" s="1"/>
      <c r="L23" s="1">
        <f>Sheet1!D24</f>
        <v>374490.12487851887</v>
      </c>
      <c r="M23" s="1">
        <f>Sheet1!A24</f>
        <v>56</v>
      </c>
      <c r="N23" s="7">
        <f>Sheet1!AB24</f>
        <v>0.21654586260643843</v>
      </c>
      <c r="O23" s="7">
        <f>Sheet1!AA24</f>
        <v>0.26388825570928726</v>
      </c>
      <c r="P23" s="7">
        <f>Sheet1!AC24</f>
        <v>0.25864876517757612</v>
      </c>
      <c r="Q23" s="27">
        <f>Sheet1!Q24</f>
        <v>98570.612845094452</v>
      </c>
      <c r="R23" s="1">
        <f>Sheet1!Y24</f>
        <v>120120.63760905145</v>
      </c>
      <c r="S23" s="1">
        <f>Sheet1!AP24</f>
        <v>117735.64725878337</v>
      </c>
      <c r="T23" s="1"/>
    </row>
    <row r="24" spans="1:20" x14ac:dyDescent="0.25">
      <c r="A24" s="33">
        <v>252747.0642414834</v>
      </c>
      <c r="B24" s="33">
        <v>48</v>
      </c>
      <c r="C24" s="34">
        <v>0.14096530947453306</v>
      </c>
      <c r="D24" s="34">
        <v>0.14244979969822244</v>
      </c>
      <c r="E24" s="34">
        <v>0.14591885160613588</v>
      </c>
      <c r="F24" s="33">
        <v>64166.716360019665</v>
      </c>
      <c r="G24" s="33">
        <v>64842.4490170668</v>
      </c>
      <c r="H24" s="33">
        <v>66421.544403321968</v>
      </c>
      <c r="I24" s="1"/>
      <c r="L24" s="1">
        <f>Sheet1!D25</f>
        <v>393214.63112244476</v>
      </c>
      <c r="M24" s="1">
        <f>Sheet1!A25</f>
        <v>57</v>
      </c>
      <c r="N24" s="7">
        <f>Sheet1!AB25</f>
        <v>0.22531431055626561</v>
      </c>
      <c r="O24" s="7">
        <f>Sheet1!AA25</f>
        <v>0.28110326333245317</v>
      </c>
      <c r="P24" s="7">
        <f>Sheet1!AC25</f>
        <v>0.27464921550062138</v>
      </c>
      <c r="Q24" s="27">
        <f>Sheet1!Q25</f>
        <v>102561.96727556731</v>
      </c>
      <c r="R24" s="1">
        <f>Sheet1!Y25</f>
        <v>127956.82450786309</v>
      </c>
      <c r="S24" s="1">
        <f>Sheet1!AP25</f>
        <v>125018.97364127121</v>
      </c>
      <c r="T24" s="1"/>
    </row>
    <row r="25" spans="1:20" x14ac:dyDescent="0.25">
      <c r="A25" s="33">
        <v>265889.91158204048</v>
      </c>
      <c r="B25" s="33">
        <v>49</v>
      </c>
      <c r="C25" s="34">
        <v>0.15094487301360504</v>
      </c>
      <c r="D25" s="34">
        <v>0.15615228010473514</v>
      </c>
      <c r="E25" s="34">
        <v>0.1586244882735186</v>
      </c>
      <c r="F25" s="33">
        <v>68709.36465693354</v>
      </c>
      <c r="G25" s="33">
        <v>71079.750782663759</v>
      </c>
      <c r="H25" s="33">
        <v>72205.087796008243</v>
      </c>
      <c r="I25" s="1"/>
      <c r="L25" s="1">
        <f>Sheet1!D26</f>
        <v>412875.36267856695</v>
      </c>
      <c r="M25" s="1">
        <f>Sheet1!A26</f>
        <v>58</v>
      </c>
      <c r="N25" s="7">
        <f>Sheet1!AB26</f>
        <v>0.23393901345773491</v>
      </c>
      <c r="O25" s="7">
        <f>Sheet1!AA26</f>
        <v>0.29881808915771541</v>
      </c>
      <c r="P25" s="7">
        <f>Sheet1!AC26</f>
        <v>0.29111912009326008</v>
      </c>
      <c r="Q25" s="27">
        <f>Sheet1!Q26</f>
        <v>106487.88966619634</v>
      </c>
      <c r="R25" s="1">
        <f>Sheet1!Y26</f>
        <v>136020.52619683865</v>
      </c>
      <c r="S25" s="1">
        <f>Sheet1!AP26</f>
        <v>132515.99330101494</v>
      </c>
      <c r="T25" s="1"/>
    </row>
    <row r="26" spans="1:20" x14ac:dyDescent="0.25">
      <c r="A26" s="33">
        <v>279450.2970727245</v>
      </c>
      <c r="B26" s="33">
        <v>50</v>
      </c>
      <c r="C26" s="34">
        <v>0.16077953422494343</v>
      </c>
      <c r="D26" s="34">
        <v>0.17026292377505262</v>
      </c>
      <c r="E26" s="34">
        <v>0.17171336711122781</v>
      </c>
      <c r="F26" s="33">
        <v>73186.054126117058</v>
      </c>
      <c r="G26" s="33">
        <v>77502.846460782675</v>
      </c>
      <c r="H26" s="33">
        <v>78163.081141893694</v>
      </c>
      <c r="I26" s="1"/>
      <c r="L26" s="1">
        <f>Sheet1!D27</f>
        <v>433519.13081249525</v>
      </c>
      <c r="M26" s="1">
        <f>Sheet1!A27</f>
        <v>59</v>
      </c>
      <c r="N26" s="7">
        <f>Sheet1!AB27</f>
        <v>0.242422327787049</v>
      </c>
      <c r="O26" s="7">
        <f>Sheet1!AA27</f>
        <v>0.31704911158629251</v>
      </c>
      <c r="P26" s="7">
        <f>Sheet1!AC27</f>
        <v>0.30807409825839793</v>
      </c>
      <c r="Q26" s="27">
        <f>Sheet1!Q27</f>
        <v>110349.45267337243</v>
      </c>
      <c r="R26" s="1">
        <f>Sheet1!Y27</f>
        <v>144319.19804375147</v>
      </c>
      <c r="S26" s="1">
        <f>Sheet1!AP27</f>
        <v>140233.81606796509</v>
      </c>
      <c r="T26" s="1"/>
    </row>
    <row r="27" spans="1:20" x14ac:dyDescent="0.25">
      <c r="A27" s="33">
        <v>293422.81192636065</v>
      </c>
      <c r="B27" s="33">
        <v>51</v>
      </c>
      <c r="C27" s="34">
        <v>0.17046218427938523</v>
      </c>
      <c r="D27" s="34">
        <v>0.18478500981548845</v>
      </c>
      <c r="E27" s="34">
        <v>0.18518814419824017</v>
      </c>
      <c r="F27" s="33">
        <v>77593.548863458389</v>
      </c>
      <c r="G27" s="33">
        <v>84113.228684508387</v>
      </c>
      <c r="H27" s="33">
        <v>84296.733475080109</v>
      </c>
      <c r="I27" s="1"/>
      <c r="L27" s="1">
        <f>Sheet1!D28</f>
        <v>455195.08735311992</v>
      </c>
      <c r="M27" s="1">
        <f>Sheet1!A28</f>
        <v>60</v>
      </c>
      <c r="N27" s="7">
        <f>Sheet1!AB28</f>
        <v>0.25076657138965303</v>
      </c>
      <c r="O27" s="7">
        <f>Sheet1!AA28</f>
        <v>0.33581341156073075</v>
      </c>
      <c r="P27" s="7">
        <f>Sheet1!AC28</f>
        <v>0.32553045286281107</v>
      </c>
      <c r="Q27" s="27">
        <f>Sheet1!Q28</f>
        <v>114147.71136895548</v>
      </c>
      <c r="R27" s="1">
        <f>Sheet1!Y28</f>
        <v>152860.61520973605</v>
      </c>
      <c r="S27" s="1">
        <f>Sheet1!AP28</f>
        <v>148179.86292698796</v>
      </c>
      <c r="T27" s="1"/>
    </row>
    <row r="28" spans="1:20" x14ac:dyDescent="0.25">
      <c r="A28" s="33">
        <v>308093.95252267865</v>
      </c>
      <c r="B28" s="33">
        <v>52</v>
      </c>
      <c r="C28" s="34">
        <v>0.17998610236572146</v>
      </c>
      <c r="D28" s="34">
        <v>0.19972279249475877</v>
      </c>
      <c r="E28" s="34">
        <v>0.19905243520025145</v>
      </c>
      <c r="F28" s="33">
        <v>81928.78958871217</v>
      </c>
      <c r="G28" s="33">
        <v>90912.833976060763</v>
      </c>
      <c r="H28" s="33">
        <v>90607.690628829703</v>
      </c>
      <c r="I28" s="1"/>
      <c r="L28" s="1">
        <f>Sheet1!D29</f>
        <v>477499.64663342264</v>
      </c>
      <c r="M28" s="1">
        <f>Sheet1!A29</f>
        <v>61</v>
      </c>
      <c r="N28" s="7">
        <f>Sheet1!AB29</f>
        <v>0.26593385658641372</v>
      </c>
      <c r="O28" s="7">
        <f>Sheet1!AA29</f>
        <v>0.36480586459364428</v>
      </c>
      <c r="P28" s="7">
        <f>Sheet1!AC29</f>
        <v>0.35283916112785441</v>
      </c>
      <c r="Q28" s="27">
        <f>Sheet1!Q29</f>
        <v>126983.32254787584</v>
      </c>
      <c r="R28" s="1">
        <f>Sheet1!Y29</f>
        <v>174194.67143326538</v>
      </c>
      <c r="S28" s="1">
        <f>Sheet1!AP29</f>
        <v>168480.57475698375</v>
      </c>
      <c r="T28" s="1"/>
    </row>
    <row r="29" spans="1:20" x14ac:dyDescent="0.25">
      <c r="A29" s="33">
        <v>323498.65014881251</v>
      </c>
      <c r="B29" s="33">
        <v>53</v>
      </c>
      <c r="C29" s="34">
        <v>0.18935389064736363</v>
      </c>
      <c r="D29" s="34">
        <v>0.21508865518507014</v>
      </c>
      <c r="E29" s="34">
        <v>0.21331796892137231</v>
      </c>
      <c r="F29" s="33">
        <v>86192.9607938798</v>
      </c>
      <c r="G29" s="33">
        <v>97907.299185633092</v>
      </c>
      <c r="H29" s="33">
        <v>97101.29149715419</v>
      </c>
      <c r="I29" s="1"/>
      <c r="L29" s="1">
        <f>Sheet1!D30</f>
        <v>500419.62967182684</v>
      </c>
      <c r="M29" s="1">
        <f>Sheet1!A30</f>
        <v>62</v>
      </c>
      <c r="N29" s="7">
        <f>Sheet1!AB30</f>
        <v>0.28199750935079915</v>
      </c>
      <c r="O29" s="7">
        <f>Sheet1!AA30</f>
        <v>0.39477372446591291</v>
      </c>
      <c r="P29" s="7">
        <f>Sheet1!AC30</f>
        <v>0.38132344989860667</v>
      </c>
      <c r="Q29" s="27">
        <f>Sheet1!Q30</f>
        <v>141117.08919770442</v>
      </c>
      <c r="R29" s="1">
        <f>Sheet1!Y30</f>
        <v>197552.52100139996</v>
      </c>
      <c r="S29" s="1">
        <f>Sheet1!AP30</f>
        <v>190821.73958344417</v>
      </c>
      <c r="T29" s="1"/>
    </row>
    <row r="30" spans="1:20" x14ac:dyDescent="0.25">
      <c r="A30" s="33">
        <v>339673.58265625307</v>
      </c>
      <c r="B30" s="33">
        <v>54</v>
      </c>
      <c r="C30" s="34">
        <v>0.19856810862930679</v>
      </c>
      <c r="D30" s="34">
        <v>0.23089562457701845</v>
      </c>
      <c r="E30" s="34">
        <v>0.22799710111990035</v>
      </c>
      <c r="F30" s="33">
        <v>90387.227553061108</v>
      </c>
      <c r="G30" s="33">
        <v>105102.5539987891</v>
      </c>
      <c r="H30" s="33">
        <v>103783.16036053115</v>
      </c>
      <c r="I30" s="1"/>
      <c r="L30" s="1">
        <f>Sheet1!D31</f>
        <v>523939.35226640257</v>
      </c>
      <c r="M30" s="1">
        <f>Sheet1!A31</f>
        <v>63</v>
      </c>
      <c r="N30" s="7">
        <f>Sheet1!AB31</f>
        <v>0.29904629808680228</v>
      </c>
      <c r="O30" s="7">
        <f>Sheet1!AA31</f>
        <v>0.42577156608228289</v>
      </c>
      <c r="P30" s="7">
        <f>Sheet1!AC31</f>
        <v>0.41103283073549451</v>
      </c>
      <c r="Q30" s="27">
        <f>Sheet1!Q31</f>
        <v>156682.12371726474</v>
      </c>
      <c r="R30" s="1">
        <f>Sheet1!Y31</f>
        <v>223078.47854660312</v>
      </c>
      <c r="S30" s="1">
        <f>Sheet1!AP31</f>
        <v>215356.27509578087</v>
      </c>
      <c r="T30" s="1"/>
    </row>
    <row r="31" spans="1:20" x14ac:dyDescent="0.25">
      <c r="A31" s="33">
        <v>356657.26178906567</v>
      </c>
      <c r="B31" s="33">
        <v>55</v>
      </c>
      <c r="C31" s="34">
        <v>0.20763127385744756</v>
      </c>
      <c r="D31" s="34">
        <v>0.24715737870516152</v>
      </c>
      <c r="E31" s="34">
        <v>0.24310282212478765</v>
      </c>
      <c r="F31" s="33">
        <v>94512.735840780413</v>
      </c>
      <c r="G31" s="33">
        <v>112504.82458966415</v>
      </c>
      <c r="H31" s="33">
        <v>110659.21035288268</v>
      </c>
      <c r="I31" s="1"/>
      <c r="L31" s="1">
        <f>Sheet1!D32</f>
        <v>548040.56247065694</v>
      </c>
      <c r="M31" s="1">
        <f>Sheet1!A32</f>
        <v>64</v>
      </c>
      <c r="N31" s="7">
        <f>Sheet1!AB32</f>
        <v>0.31717920274285055</v>
      </c>
      <c r="O31" s="7">
        <f>Sheet1!AA32</f>
        <v>0.45786428397136453</v>
      </c>
      <c r="P31" s="7">
        <f>Sheet1!AC32</f>
        <v>0.44202895118212793</v>
      </c>
      <c r="Q31" s="27">
        <f>Sheet1!Q32</f>
        <v>173827.06867518634</v>
      </c>
      <c r="R31" s="1">
        <f>Sheet1!Y32</f>
        <v>250928.19972289121</v>
      </c>
      <c r="S31" s="1">
        <f>Sheet1!AP32</f>
        <v>242249.79503416794</v>
      </c>
      <c r="T31" s="1"/>
    </row>
    <row r="32" spans="1:20" x14ac:dyDescent="0.25">
      <c r="A32" s="33">
        <v>374490.12487851887</v>
      </c>
      <c r="B32" s="33">
        <v>56</v>
      </c>
      <c r="C32" s="34">
        <v>0.21654586260643843</v>
      </c>
      <c r="D32" s="34">
        <v>0.26388825570928726</v>
      </c>
      <c r="E32" s="34">
        <v>0.25864876517757612</v>
      </c>
      <c r="F32" s="33">
        <v>98570.612845094452</v>
      </c>
      <c r="G32" s="33">
        <v>120120.63760905145</v>
      </c>
      <c r="H32" s="33">
        <v>117735.64725878337</v>
      </c>
      <c r="I32" s="1"/>
      <c r="L32" s="1">
        <f>Sheet1!D33</f>
        <v>572702.38778183633</v>
      </c>
      <c r="M32" s="1">
        <f>Sheet1!A33</f>
        <v>65</v>
      </c>
      <c r="N32" s="7">
        <f>Sheet1!AB33</f>
        <v>0.33650693137376381</v>
      </c>
      <c r="O32" s="7">
        <f>Sheet1!AA33</f>
        <v>0.49112760956458834</v>
      </c>
      <c r="P32" s="7">
        <f>Sheet1!AC33</f>
        <v>0.47438617206730882</v>
      </c>
      <c r="Q32" s="27">
        <f>Sheet1!Q33</f>
        <v>192718.32310289307</v>
      </c>
      <c r="R32" s="1">
        <f>Sheet1!Y33</f>
        <v>281269.95470322517</v>
      </c>
      <c r="S32" s="1">
        <f>Sheet1!AP33</f>
        <v>271682.09347363282</v>
      </c>
      <c r="T32" s="1"/>
    </row>
    <row r="33" spans="1:20" x14ac:dyDescent="0.25">
      <c r="A33" s="33">
        <v>393214.63112244476</v>
      </c>
      <c r="B33" s="33">
        <v>57</v>
      </c>
      <c r="C33" s="34">
        <v>0.22531431055626561</v>
      </c>
      <c r="D33" s="34">
        <v>0.28110326333245317</v>
      </c>
      <c r="E33" s="34">
        <v>0.27464921550062138</v>
      </c>
      <c r="F33" s="33">
        <v>102561.96727556731</v>
      </c>
      <c r="G33" s="33">
        <v>127956.82450786309</v>
      </c>
      <c r="H33" s="33">
        <v>125018.97364127121</v>
      </c>
      <c r="I33" s="1"/>
      <c r="L33" s="1">
        <f>Sheet1!D34</f>
        <v>597042.23926256422</v>
      </c>
      <c r="M33" s="1">
        <f>Sheet1!A34</f>
        <v>66</v>
      </c>
      <c r="N33" s="7">
        <f>Sheet1!AB34</f>
        <v>0.35766759649819513</v>
      </c>
      <c r="O33" s="7">
        <f>Sheet1!AA34</f>
        <v>0.5073516326563986</v>
      </c>
      <c r="P33" s="7">
        <f>Sheet1!AC34</f>
        <v>0.49355784163489547</v>
      </c>
      <c r="Q33" s="27">
        <f>Sheet1!Q34</f>
        <v>213542.66272494168</v>
      </c>
      <c r="R33" s="1">
        <f>Sheet1!Y34</f>
        <v>302910.3548546941</v>
      </c>
      <c r="S33" s="1">
        <f>Sheet1!AP34</f>
        <v>294674.87897529604</v>
      </c>
      <c r="T33" s="1"/>
    </row>
    <row r="34" spans="1:20" x14ac:dyDescent="0.25">
      <c r="A34" s="33">
        <v>412875.36267856695</v>
      </c>
      <c r="B34" s="33">
        <v>58</v>
      </c>
      <c r="C34" s="34">
        <v>0.23393901345773491</v>
      </c>
      <c r="D34" s="34">
        <v>0.29881808915771541</v>
      </c>
      <c r="E34" s="34">
        <v>0.29111912009326008</v>
      </c>
      <c r="F34" s="33">
        <v>106487.88966619634</v>
      </c>
      <c r="G34" s="33">
        <v>136020.52619683865</v>
      </c>
      <c r="H34" s="33">
        <v>132515.99330101494</v>
      </c>
      <c r="I34" s="1"/>
      <c r="L34" s="1">
        <f>Sheet1!D35</f>
        <v>622416.53443122306</v>
      </c>
      <c r="M34" s="1">
        <f>Sheet1!A35</f>
        <v>67</v>
      </c>
      <c r="N34" s="7">
        <f>Sheet1!AB35</f>
        <v>0.37997419721414161</v>
      </c>
      <c r="O34" s="7">
        <f>Sheet1!AA35</f>
        <v>0.52391892074734792</v>
      </c>
      <c r="P34" s="7">
        <f>Sheet1!AC35</f>
        <v>0.51315848640909267</v>
      </c>
      <c r="Q34" s="27">
        <f>Sheet1!Q35</f>
        <v>236502.2230033121</v>
      </c>
      <c r="R34" s="1">
        <f>Sheet1!Y35</f>
        <v>326095.79897451092</v>
      </c>
      <c r="S34" s="1">
        <f>Sheet1!AP35</f>
        <v>319398.32672471931</v>
      </c>
      <c r="T34" s="1"/>
    </row>
    <row r="35" spans="1:20" x14ac:dyDescent="0.25">
      <c r="A35" s="33">
        <v>433519.13081249525</v>
      </c>
      <c r="B35" s="33">
        <v>59</v>
      </c>
      <c r="C35" s="34">
        <v>0.242422327787049</v>
      </c>
      <c r="D35" s="34">
        <v>0.31704911158629251</v>
      </c>
      <c r="E35" s="34">
        <v>0.30807409825839793</v>
      </c>
      <c r="F35" s="33">
        <v>110349.45267337243</v>
      </c>
      <c r="G35" s="33">
        <v>144319.19804375147</v>
      </c>
      <c r="H35" s="33">
        <v>140233.81606796509</v>
      </c>
      <c r="I35" s="1"/>
      <c r="L35" s="1">
        <f>Sheet1!D36</f>
        <v>648869.23714454984</v>
      </c>
      <c r="M35" s="1">
        <f>Sheet1!A36</f>
        <v>68</v>
      </c>
      <c r="N35" s="7">
        <f>Sheet1!AB36</f>
        <v>0.40353051510779764</v>
      </c>
      <c r="O35" s="7">
        <f>Sheet1!AA36</f>
        <v>0.54089156077135203</v>
      </c>
      <c r="P35" s="7">
        <f>Sheet1!AC36</f>
        <v>0.53326010739207452</v>
      </c>
      <c r="Q35" s="27">
        <f>Sheet1!Q36</f>
        <v>261838.53750254391</v>
      </c>
      <c r="R35" s="1">
        <f>Sheet1!Y36</f>
        <v>350967.89441563212</v>
      </c>
      <c r="S35" s="1">
        <f>Sheet1!AP36</f>
        <v>346016.07908311608</v>
      </c>
      <c r="T35" s="1"/>
    </row>
    <row r="36" spans="1:20" x14ac:dyDescent="0.25">
      <c r="A36" s="33">
        <v>455195.08735311992</v>
      </c>
      <c r="B36" s="33">
        <v>60</v>
      </c>
      <c r="C36" s="34">
        <v>0.25076657138965303</v>
      </c>
      <c r="D36" s="34">
        <v>0.33581341156073075</v>
      </c>
      <c r="E36" s="34">
        <v>0.32553045286281107</v>
      </c>
      <c r="F36" s="33">
        <v>114147.71136895548</v>
      </c>
      <c r="G36" s="33">
        <v>152860.61520973605</v>
      </c>
      <c r="H36" s="33">
        <v>148179.86292698796</v>
      </c>
      <c r="I36" s="1"/>
      <c r="L36" s="1">
        <f>Sheet1!D37</f>
        <v>676446.17972319305</v>
      </c>
      <c r="M36" s="1">
        <f>Sheet1!A37</f>
        <v>69</v>
      </c>
      <c r="N36" s="7">
        <f>Sheet1!AB37</f>
        <v>0.42845375790196988</v>
      </c>
      <c r="O36" s="7">
        <f>Sheet1!AA37</f>
        <v>0.55833852501374037</v>
      </c>
      <c r="P36" s="7">
        <f>Sheet1!AC37</f>
        <v>0.55394282566986675</v>
      </c>
      <c r="Q36" s="27">
        <f>Sheet1!Q37</f>
        <v>289825.90772083338</v>
      </c>
      <c r="R36" s="1">
        <f>Sheet1!Y37</f>
        <v>377685.96223782713</v>
      </c>
      <c r="S36" s="1">
        <f>Sheet1!AP37</f>
        <v>374712.50820945209</v>
      </c>
      <c r="T36" s="1"/>
    </row>
    <row r="37" spans="1:20" x14ac:dyDescent="0.25">
      <c r="A37" s="33">
        <v>477499.64663342264</v>
      </c>
      <c r="B37" s="35">
        <v>61</v>
      </c>
      <c r="C37" s="34">
        <v>0.26593385658641372</v>
      </c>
      <c r="D37" s="34">
        <v>0.36480586459364428</v>
      </c>
      <c r="E37" s="34">
        <v>0.35283916112785441</v>
      </c>
      <c r="F37" s="33">
        <v>126983.32254787584</v>
      </c>
      <c r="G37" s="36">
        <v>174194.67143326538</v>
      </c>
      <c r="H37" s="36">
        <v>168480.57475698375</v>
      </c>
      <c r="I37" s="24"/>
      <c r="L37" s="1">
        <f>Sheet1!D38</f>
        <v>705195.14236142859</v>
      </c>
      <c r="M37" s="1">
        <f>Sheet1!A38</f>
        <v>70</v>
      </c>
      <c r="N37" s="7">
        <f>Sheet1!AB38</f>
        <v>0.45480685712460955</v>
      </c>
      <c r="O37" s="7">
        <f>Sheet1!AA38</f>
        <v>0.57628089939265448</v>
      </c>
      <c r="P37" s="7">
        <f>Sheet1!AC38</f>
        <v>0.57524031772413908</v>
      </c>
      <c r="Q37" s="27">
        <f>Sheet1!Q38</f>
        <v>320727.58635694295</v>
      </c>
      <c r="R37" s="1">
        <f>Sheet1!Y38</f>
        <v>406390.49088737508</v>
      </c>
      <c r="S37" s="1">
        <f>Sheet1!AP38</f>
        <v>405656.67774950765</v>
      </c>
      <c r="T37" s="1"/>
    </row>
    <row r="38" spans="1:20" x14ac:dyDescent="0.25">
      <c r="A38" s="33">
        <v>500419.62967182684</v>
      </c>
      <c r="B38" s="35">
        <v>62</v>
      </c>
      <c r="C38" s="34">
        <v>0.28199750935079915</v>
      </c>
      <c r="D38" s="34">
        <v>0.39477372446591291</v>
      </c>
      <c r="E38" s="34">
        <v>0.38132344989860667</v>
      </c>
      <c r="F38" s="33">
        <v>141117.08919770442</v>
      </c>
      <c r="G38" s="36">
        <v>197552.52100139996</v>
      </c>
      <c r="H38" s="36">
        <v>190821.73958344417</v>
      </c>
      <c r="I38" s="24"/>
      <c r="L38" s="1">
        <f>Sheet1!D39</f>
        <v>735165.93591178919</v>
      </c>
      <c r="M38" s="1">
        <f>Sheet1!A39</f>
        <v>71</v>
      </c>
      <c r="N38" s="7">
        <f>Sheet1!AB39</f>
        <v>0.48264689339756428</v>
      </c>
      <c r="O38" s="7">
        <f>Sheet1!AA39</f>
        <v>0.59472988677765781</v>
      </c>
      <c r="P38" s="7">
        <f>Sheet1!AC39</f>
        <v>0.59717806859704226</v>
      </c>
      <c r="Q38" s="27">
        <f>Sheet1!Q39</f>
        <v>354825.55509953789</v>
      </c>
      <c r="R38" s="1">
        <f>Sheet1!Y39</f>
        <v>437225.15382760926</v>
      </c>
      <c r="S38" s="1">
        <f>Sheet1!AP39</f>
        <v>439024.97370613925</v>
      </c>
      <c r="T38" s="1"/>
    </row>
    <row r="39" spans="1:20" x14ac:dyDescent="0.25">
      <c r="A39" s="33">
        <v>523939.35226640257</v>
      </c>
      <c r="B39" s="35">
        <v>63</v>
      </c>
      <c r="C39" s="34">
        <v>0.29904629808680228</v>
      </c>
      <c r="D39" s="34">
        <v>0.42577156608228289</v>
      </c>
      <c r="E39" s="34">
        <v>0.41103283073549451</v>
      </c>
      <c r="F39" s="33">
        <v>156682.12371726474</v>
      </c>
      <c r="G39" s="36">
        <v>223078.47854660312</v>
      </c>
      <c r="H39" s="36">
        <v>215356.27509578087</v>
      </c>
      <c r="I39" s="24"/>
      <c r="L39" s="1">
        <f>Sheet1!D40</f>
        <v>766410.48818804009</v>
      </c>
      <c r="M39">
        <f>Sheet1!A40</f>
        <v>72</v>
      </c>
      <c r="N39" s="7">
        <f>Sheet1!AB40</f>
        <v>0.51213690184824456</v>
      </c>
      <c r="O39" s="7">
        <f>Sheet1!AA40</f>
        <v>0.61377535560617791</v>
      </c>
      <c r="P39" s="7">
        <f>Sheet1!AC40</f>
        <v>0.61986222387349521</v>
      </c>
      <c r="Q39" s="27">
        <f>Sheet1!Q40</f>
        <v>392507.09296462353</v>
      </c>
      <c r="R39" s="1">
        <f>Sheet1!Y40</f>
        <v>470403.86992791871</v>
      </c>
      <c r="S39" s="1">
        <f>Sheet1!AP40</f>
        <v>475068.90960820968</v>
      </c>
      <c r="T39" s="1"/>
    </row>
    <row r="40" spans="1:20" x14ac:dyDescent="0.25">
      <c r="A40" s="33">
        <v>548040.56247065694</v>
      </c>
      <c r="B40" s="35">
        <v>64</v>
      </c>
      <c r="C40" s="34">
        <v>0.31717920274285055</v>
      </c>
      <c r="D40" s="34">
        <v>0.45786428397136453</v>
      </c>
      <c r="E40" s="34">
        <v>0.44202895118212793</v>
      </c>
      <c r="F40" s="33">
        <v>173827.06867518634</v>
      </c>
      <c r="G40" s="36">
        <v>250928.19972289121</v>
      </c>
      <c r="H40" s="36">
        <v>242249.79503416794</v>
      </c>
      <c r="I40" s="24"/>
      <c r="L40" s="1">
        <f>Sheet1!D41</f>
        <v>798982.93393603165</v>
      </c>
      <c r="M40">
        <f>Sheet1!A41</f>
        <v>73</v>
      </c>
      <c r="N40" s="7">
        <f>Sheet1!AB41</f>
        <v>0.54346397485532749</v>
      </c>
      <c r="O40" s="7">
        <f>Sheet1!AA41</f>
        <v>0.63351922641980063</v>
      </c>
      <c r="P40" s="7">
        <f>Sheet1!AC41</f>
        <v>0.64341334697818675</v>
      </c>
      <c r="Q40" s="27">
        <f>Sheet1!Q41</f>
        <v>434218.44111844728</v>
      </c>
      <c r="R40" s="1">
        <f>Sheet1!Y41</f>
        <v>506171.05022977747</v>
      </c>
      <c r="S40" s="1">
        <f>Sheet1!AP41</f>
        <v>514076.28370223363</v>
      </c>
      <c r="T40" s="1"/>
    </row>
    <row r="41" spans="1:20" x14ac:dyDescent="0.25">
      <c r="A41" s="33">
        <v>572702.38778183633</v>
      </c>
      <c r="B41" s="35">
        <v>65</v>
      </c>
      <c r="C41" s="34">
        <v>0.33650693137376381</v>
      </c>
      <c r="D41" s="34">
        <v>0.49112760956458834</v>
      </c>
      <c r="E41" s="34">
        <v>0.47438617206730882</v>
      </c>
      <c r="F41" s="33">
        <v>192718.32310289307</v>
      </c>
      <c r="G41" s="36">
        <v>281269.95470322517</v>
      </c>
      <c r="H41" s="36">
        <v>271682.09347363282</v>
      </c>
      <c r="I41" s="24"/>
      <c r="L41" s="1">
        <f>Sheet1!D42</f>
        <v>832939.7086283128</v>
      </c>
      <c r="M41">
        <f>Sheet1!A42</f>
        <v>74</v>
      </c>
      <c r="N41" s="7">
        <f>Sheet1!AB42</f>
        <v>0.57684389448442441</v>
      </c>
      <c r="O41" s="7">
        <f>Sheet1!AA42</f>
        <v>0.65407782839724771</v>
      </c>
      <c r="P41" s="7">
        <f>Sheet1!AC42</f>
        <v>0.66796923200864888</v>
      </c>
      <c r="Q41" s="27">
        <f>Sheet1!Q42</f>
        <v>480476.18539587769</v>
      </c>
      <c r="R41" s="1">
        <f>Sheet1!Y42</f>
        <v>544807.39580544305</v>
      </c>
      <c r="S41" s="1">
        <f>Sheet1!AP42</f>
        <v>556378.09748196183</v>
      </c>
      <c r="T41" s="1"/>
    </row>
    <row r="42" spans="1:20" x14ac:dyDescent="0.25">
      <c r="A42" s="33">
        <v>597042.23926256422</v>
      </c>
      <c r="B42" s="35">
        <v>66</v>
      </c>
      <c r="C42" s="34">
        <v>0.35766759649819513</v>
      </c>
      <c r="D42" s="34">
        <v>0.5073516326563986</v>
      </c>
      <c r="E42" s="34">
        <v>0.49355784163489547</v>
      </c>
      <c r="F42" s="33">
        <v>213542.66272494168</v>
      </c>
      <c r="G42" s="36">
        <v>302910.3548546941</v>
      </c>
      <c r="H42" s="36">
        <v>294674.87897529604</v>
      </c>
      <c r="I42" s="24"/>
      <c r="L42" s="1">
        <f>Sheet1!D43</f>
        <v>868339.6462450159</v>
      </c>
      <c r="M42">
        <f>Sheet1!A43</f>
        <v>75</v>
      </c>
      <c r="N42" s="7">
        <f>Sheet1!AB43</f>
        <v>0.61252687663506522</v>
      </c>
      <c r="O42" s="7">
        <f>Sheet1!AA43</f>
        <v>0.67558482047419532</v>
      </c>
      <c r="P42" s="7">
        <f>Sheet1!AC43</f>
        <v>0.69368839064531429</v>
      </c>
      <c r="Q42" s="27">
        <f>Sheet1!Q43</f>
        <v>531881.37137285701</v>
      </c>
      <c r="R42" s="1">
        <f>Sheet1!Y43</f>
        <v>586637.08401906537</v>
      </c>
      <c r="S42" s="1">
        <f>Sheet1!AP43</f>
        <v>602357.13173722662</v>
      </c>
      <c r="T42" s="1"/>
    </row>
    <row r="43" spans="1:20" x14ac:dyDescent="0.25">
      <c r="A43" s="33">
        <v>622416.53443122306</v>
      </c>
      <c r="B43" s="35">
        <v>67</v>
      </c>
      <c r="C43" s="34">
        <v>0.37997419721414161</v>
      </c>
      <c r="D43" s="34">
        <v>0.52391892074734792</v>
      </c>
      <c r="E43" s="34">
        <v>0.51315848640909267</v>
      </c>
      <c r="F43" s="33">
        <v>236502.2230033121</v>
      </c>
      <c r="G43" s="36">
        <v>326095.79897451092</v>
      </c>
      <c r="H43" s="36">
        <v>319398.32672471931</v>
      </c>
      <c r="I43" s="24"/>
      <c r="L43" s="1">
        <f>Sheet1!D44</f>
        <v>905244.08121042885</v>
      </c>
      <c r="M43">
        <f>Sheet1!A44</f>
        <v>76</v>
      </c>
      <c r="N43" s="7">
        <f>Sheet1!AB44</f>
        <v>0.65080475114149228</v>
      </c>
      <c r="O43" s="7">
        <f>Sheet1!AA44</f>
        <v>0.68892860410973444</v>
      </c>
      <c r="P43" s="7">
        <f>Sheet1!AC44</f>
        <v>0.72075440976382554</v>
      </c>
      <c r="Q43" s="27">
        <f>Sheet1!Q44</f>
        <v>589137.14899446198</v>
      </c>
      <c r="R43" s="1">
        <f>Sheet1!Y44</f>
        <v>623648.54124689987</v>
      </c>
      <c r="S43" s="1">
        <f>Sheet1!AP44</f>
        <v>652458.66344501916</v>
      </c>
      <c r="T43" s="1"/>
    </row>
    <row r="44" spans="1:20" x14ac:dyDescent="0.25">
      <c r="A44" s="33">
        <v>648869.23714454984</v>
      </c>
      <c r="B44" s="35">
        <v>68</v>
      </c>
      <c r="C44" s="34">
        <v>0.40353051510779764</v>
      </c>
      <c r="D44" s="34">
        <v>0.54089156077135203</v>
      </c>
      <c r="E44" s="34">
        <v>0.53326010739207452</v>
      </c>
      <c r="F44" s="33">
        <v>261838.53750254391</v>
      </c>
      <c r="G44" s="36">
        <v>350967.89441563212</v>
      </c>
      <c r="H44" s="36">
        <v>346016.07908311608</v>
      </c>
      <c r="I44" s="24"/>
      <c r="L44" s="1">
        <f>Sheet1!D45</f>
        <v>943716.95466187189</v>
      </c>
      <c r="M44">
        <f>Sheet1!A45</f>
        <v>77</v>
      </c>
      <c r="N44" s="7">
        <f>Sheet1!AB45</f>
        <v>0.69202001484962972</v>
      </c>
      <c r="O44" s="7">
        <f>Sheet1!AA45</f>
        <v>0.70386673453648096</v>
      </c>
      <c r="P44" s="7">
        <f>Sheet1!AC45</f>
        <v>0.74938144476562885</v>
      </c>
      <c r="Q44" s="27">
        <f>Sheet1!Q45</f>
        <v>653071.0209789559</v>
      </c>
      <c r="R44" s="1">
        <f>Sheet1!Y45</f>
        <v>664250.97120456398</v>
      </c>
      <c r="S44" s="1">
        <f>Sheet1!AP45</f>
        <v>707203.974934333</v>
      </c>
      <c r="T44" s="1"/>
    </row>
    <row r="45" spans="1:20" x14ac:dyDescent="0.25">
      <c r="A45" s="33">
        <v>676446.17972319305</v>
      </c>
      <c r="B45" s="35">
        <v>69</v>
      </c>
      <c r="C45" s="34">
        <v>0.42845375790196988</v>
      </c>
      <c r="D45" s="34">
        <v>0.55833852501374037</v>
      </c>
      <c r="E45" s="34">
        <v>0.55394282566986675</v>
      </c>
      <c r="F45" s="33">
        <v>289825.90772083338</v>
      </c>
      <c r="G45" s="36">
        <v>377685.96223782713</v>
      </c>
      <c r="H45" s="36">
        <v>374712.50820945209</v>
      </c>
      <c r="I45" s="24"/>
      <c r="L45" s="1">
        <f>Sheet1!D46</f>
        <v>983824.92523500125</v>
      </c>
      <c r="M45">
        <f>Sheet1!A46</f>
        <v>78</v>
      </c>
      <c r="N45" s="7">
        <f>Sheet1!AB46</f>
        <v>0.73657735360970289</v>
      </c>
      <c r="O45" s="7">
        <f>Sheet1!AA46</f>
        <v>0.72060303667565284</v>
      </c>
      <c r="P45" s="7">
        <f>Sheet1!AC46</f>
        <v>0.77982121001172888</v>
      </c>
      <c r="Q45" s="27">
        <f>Sheet1!Q46</f>
        <v>724663.15984486102</v>
      </c>
      <c r="R45" s="1">
        <f>Sheet1!Y46</f>
        <v>708947.22868153907</v>
      </c>
      <c r="S45" s="1">
        <f>Sheet1!AP46</f>
        <v>767207.54363645741</v>
      </c>
      <c r="T45" s="1"/>
    </row>
    <row r="46" spans="1:20" x14ac:dyDescent="0.25">
      <c r="A46" s="33">
        <v>705195.14236142859</v>
      </c>
      <c r="B46" s="35">
        <v>70</v>
      </c>
      <c r="C46" s="34">
        <v>0.45480685712460955</v>
      </c>
      <c r="D46" s="34">
        <v>0.57628089939265448</v>
      </c>
      <c r="E46" s="34">
        <v>0.57524031772413908</v>
      </c>
      <c r="F46" s="33">
        <v>320727.58635694295</v>
      </c>
      <c r="G46" s="36">
        <v>406390.49088737508</v>
      </c>
      <c r="H46" s="36">
        <v>405656.67774950765</v>
      </c>
      <c r="I46" s="24"/>
      <c r="L46" s="1">
        <f>Sheet1!D47</f>
        <v>1025637.4845574886</v>
      </c>
      <c r="M46">
        <f>Sheet1!A47</f>
        <v>79</v>
      </c>
      <c r="N46" s="7">
        <f>Sheet1!AB47</f>
        <v>0.78495845614847037</v>
      </c>
      <c r="O46" s="7">
        <f>Sheet1!AA47</f>
        <v>0.73938047571102572</v>
      </c>
      <c r="P46" s="7">
        <f>Sheet1!AC47</f>
        <v>0.81237196541427681</v>
      </c>
      <c r="Q46" s="27">
        <f>Sheet1!Q47</f>
        <v>805082.81644624681</v>
      </c>
      <c r="R46" s="1">
        <f>Sheet1!Y47</f>
        <v>758336.33123917575</v>
      </c>
      <c r="S46" s="1">
        <f>Sheet1!AP47</f>
        <v>833199.13913252193</v>
      </c>
      <c r="T46" s="1"/>
    </row>
    <row r="47" spans="1:20" x14ac:dyDescent="0.25">
      <c r="A47" s="33"/>
      <c r="B47" s="35"/>
      <c r="C47" s="34"/>
      <c r="D47" s="34"/>
      <c r="E47" s="34"/>
      <c r="F47" s="33"/>
      <c r="G47" s="36"/>
      <c r="H47" s="36"/>
      <c r="I47" s="24"/>
      <c r="L47" s="1">
        <f>Sheet1!D48</f>
        <v>1069227.0776511815</v>
      </c>
      <c r="M47">
        <f>Sheet1!A48</f>
        <v>80</v>
      </c>
      <c r="N47" s="7">
        <f>Sheet1!AB48</f>
        <v>0.83774127197055837</v>
      </c>
      <c r="O47" s="7">
        <f>Sheet1!AA48</f>
        <v>0.76049093809539647</v>
      </c>
      <c r="P47" s="7">
        <f>Sheet1!AC48</f>
        <v>0.84739019786191749</v>
      </c>
      <c r="Q47" s="27">
        <f>Sheet1!Q48</f>
        <v>895735.65205686376</v>
      </c>
      <c r="R47" s="1">
        <f>Sheet1!Y48</f>
        <v>813137.50331994635</v>
      </c>
      <c r="S47" s="1">
        <f>Sheet1!AP48</f>
        <v>906052.5448901545</v>
      </c>
      <c r="T47" s="1"/>
    </row>
    <row r="48" spans="1:20" x14ac:dyDescent="0.25">
      <c r="A48" s="33"/>
      <c r="B48" s="35"/>
      <c r="C48" s="34"/>
      <c r="D48" s="34"/>
      <c r="E48" s="34"/>
      <c r="F48" s="33"/>
      <c r="G48" s="36"/>
      <c r="H48" s="36"/>
      <c r="I48" s="24"/>
      <c r="L48" s="1">
        <f>Sheet1!D49</f>
        <v>1114669.2284513565</v>
      </c>
      <c r="M48">
        <f>Sheet1!A49</f>
        <v>81</v>
      </c>
      <c r="N48" s="7">
        <f>Sheet1!AB49</f>
        <v>0.89562535055395331</v>
      </c>
      <c r="O48" s="7">
        <f>Sheet1!AA49</f>
        <v>0.78428810138054095</v>
      </c>
      <c r="P48" s="7">
        <f>Sheet1!AC49</f>
        <v>0.8853059903335363</v>
      </c>
      <c r="Q48" s="27">
        <f>Sheet1!Q49</f>
        <v>998326.01848345087</v>
      </c>
      <c r="R48" s="1">
        <f>Sheet1!Y49</f>
        <v>874221.81284942687</v>
      </c>
      <c r="S48" s="1">
        <f>Sheet1!AP49</f>
        <v>986823.34518844704</v>
      </c>
      <c r="T48" s="1"/>
    </row>
    <row r="49" spans="1:20" x14ac:dyDescent="0.25">
      <c r="A49" s="33"/>
      <c r="B49" s="35"/>
      <c r="C49" s="34"/>
      <c r="D49" s="34"/>
      <c r="E49" s="34"/>
      <c r="F49" s="33"/>
      <c r="G49" s="33"/>
      <c r="H49" s="33"/>
      <c r="I49" s="1"/>
      <c r="L49" s="1">
        <f>Sheet1!D50</f>
        <v>1162042.6706605388</v>
      </c>
      <c r="M49">
        <f>Sheet1!A50</f>
        <v>82</v>
      </c>
      <c r="N49" s="7">
        <f>Sheet1!AB50</f>
        <v>0.95946562677808855</v>
      </c>
      <c r="O49" s="7">
        <f>Sheet1!AA50</f>
        <v>0.81120459407177692</v>
      </c>
      <c r="P49" s="7">
        <f>Sheet1!AC50</f>
        <v>0.91827226413480012</v>
      </c>
      <c r="Q49" s="27">
        <f>Sheet1!Q50</f>
        <v>1114939.9993481978</v>
      </c>
      <c r="R49" s="1">
        <f>Sheet1!Y50</f>
        <v>942654.35294726596</v>
      </c>
      <c r="S49" s="1">
        <f>Sheet1!AP50</f>
        <v>1067071.5542087029</v>
      </c>
      <c r="T49" s="1"/>
    </row>
    <row r="50" spans="1:20" x14ac:dyDescent="0.25">
      <c r="A50" s="33"/>
      <c r="B50" s="35"/>
      <c r="C50" s="37"/>
      <c r="D50" s="37"/>
      <c r="E50" s="37"/>
      <c r="F50" s="33"/>
      <c r="G50" s="33"/>
      <c r="H50" s="33"/>
      <c r="I50" s="1"/>
      <c r="L50" s="1"/>
      <c r="N50" s="7"/>
      <c r="O50" s="7"/>
      <c r="P50" s="7"/>
      <c r="R50" s="1"/>
      <c r="S50" s="1"/>
      <c r="T50" s="1"/>
    </row>
    <row r="51" spans="1:20" x14ac:dyDescent="0.25">
      <c r="A51" s="33"/>
      <c r="B51" s="35"/>
      <c r="C51" s="37"/>
      <c r="D51" s="37"/>
      <c r="E51" s="37"/>
      <c r="F51" s="33"/>
      <c r="G51" s="33"/>
      <c r="H51" s="33"/>
      <c r="I51" s="1"/>
      <c r="L51" s="1"/>
      <c r="N51" s="7"/>
      <c r="O51" s="7"/>
      <c r="P51" s="7"/>
      <c r="R51" s="1"/>
      <c r="S51" s="1"/>
      <c r="T51" s="1"/>
    </row>
    <row r="52" spans="1:20" x14ac:dyDescent="0.25">
      <c r="A52" s="33"/>
      <c r="B52" s="35"/>
      <c r="C52" s="37"/>
      <c r="D52" s="37"/>
      <c r="E52" s="37"/>
      <c r="F52" s="33"/>
      <c r="G52" s="33"/>
      <c r="H52" s="33"/>
      <c r="I52" s="1"/>
      <c r="L52" s="1"/>
      <c r="N52" s="7"/>
      <c r="O52" s="7"/>
      <c r="P52" s="7"/>
      <c r="R52" s="1"/>
      <c r="S52" s="1"/>
      <c r="T52" s="1"/>
    </row>
    <row r="53" spans="1:20" x14ac:dyDescent="0.25">
      <c r="A53" s="33"/>
      <c r="B53" s="35"/>
      <c r="C53" s="37"/>
      <c r="D53" s="37"/>
      <c r="E53" s="37"/>
      <c r="F53" s="33"/>
      <c r="G53" s="33"/>
      <c r="H53" s="33"/>
      <c r="I53" s="1"/>
      <c r="L53" s="1"/>
      <c r="N53" s="7"/>
      <c r="O53" s="7"/>
      <c r="P53" s="7"/>
      <c r="R53" s="1"/>
      <c r="S53" s="1"/>
      <c r="T53" s="1"/>
    </row>
    <row r="54" spans="1:20" x14ac:dyDescent="0.25">
      <c r="A54" s="33"/>
      <c r="B54" s="35"/>
      <c r="C54" s="37"/>
      <c r="D54" s="37"/>
      <c r="E54" s="37"/>
      <c r="F54" s="33"/>
      <c r="G54" s="33"/>
      <c r="H54" s="33"/>
      <c r="I54" s="1"/>
      <c r="L54" s="1"/>
      <c r="N54" s="7"/>
      <c r="O54" s="7"/>
      <c r="P54" s="7"/>
      <c r="R54" s="1"/>
      <c r="S54" s="1"/>
      <c r="T54" s="1"/>
    </row>
    <row r="55" spans="1:20" x14ac:dyDescent="0.25">
      <c r="A55" s="33"/>
      <c r="B55" s="35"/>
      <c r="C55" s="37"/>
      <c r="D55" s="37"/>
      <c r="E55" s="37"/>
      <c r="F55" s="33"/>
      <c r="G55" s="33"/>
      <c r="H55" s="33"/>
      <c r="I55" s="1"/>
      <c r="L55" s="1"/>
      <c r="N55" s="7"/>
      <c r="O55" s="7"/>
      <c r="P55" s="7"/>
      <c r="R55" s="1"/>
      <c r="S55" s="1"/>
      <c r="T55" s="1"/>
    </row>
    <row r="56" spans="1:20" x14ac:dyDescent="0.25">
      <c r="A56" s="33"/>
      <c r="B56" s="35"/>
      <c r="C56" s="37"/>
      <c r="D56" s="37"/>
      <c r="E56" s="37"/>
      <c r="F56" s="33"/>
      <c r="G56" s="33"/>
      <c r="H56" s="33"/>
      <c r="I56" s="1"/>
    </row>
    <row r="57" spans="1:20" x14ac:dyDescent="0.25">
      <c r="A57" s="33"/>
      <c r="B57" s="35"/>
      <c r="C57" s="37"/>
      <c r="D57" s="37"/>
      <c r="E57" s="37"/>
      <c r="F57" s="33"/>
      <c r="G57" s="33"/>
      <c r="H57" s="33"/>
      <c r="I57" s="1"/>
    </row>
    <row r="58" spans="1:20" x14ac:dyDescent="0.25">
      <c r="A58" s="33"/>
      <c r="B58" s="35"/>
      <c r="C58" s="37"/>
      <c r="D58" s="37"/>
      <c r="E58" s="37"/>
      <c r="F58" s="35"/>
      <c r="G58" s="33"/>
      <c r="H58" s="33"/>
      <c r="I58" s="1"/>
    </row>
    <row r="59" spans="1:20" x14ac:dyDescent="0.25">
      <c r="A59" s="1"/>
      <c r="C59" s="26"/>
      <c r="D59" s="26"/>
      <c r="E59" s="26"/>
      <c r="G59" s="1"/>
      <c r="H59" s="1"/>
      <c r="I59" s="1"/>
    </row>
    <row r="60" spans="1:20" x14ac:dyDescent="0.25">
      <c r="A60" s="17"/>
      <c r="B60" s="17"/>
      <c r="C60" s="17"/>
      <c r="D60" s="17"/>
      <c r="E60" s="17"/>
      <c r="F60" s="17"/>
      <c r="G60" s="17"/>
      <c r="H60" s="17"/>
      <c r="I60" s="17"/>
    </row>
    <row r="61" spans="1:20" x14ac:dyDescent="0.25">
      <c r="A61" s="17"/>
      <c r="B61" s="17"/>
      <c r="C61" s="17"/>
      <c r="D61" s="17"/>
      <c r="E61" s="17"/>
      <c r="F61" s="17"/>
      <c r="G61" s="17"/>
      <c r="H61" s="17"/>
      <c r="I61" s="17"/>
    </row>
    <row r="62" spans="1:20" x14ac:dyDescent="0.25">
      <c r="A62" s="17" t="s">
        <v>58</v>
      </c>
      <c r="B62" s="17"/>
      <c r="C62" s="17"/>
      <c r="D62" s="17"/>
      <c r="E62" s="17"/>
      <c r="F62" s="17"/>
      <c r="G62" s="17"/>
      <c r="H62" s="17"/>
      <c r="I62" s="17"/>
    </row>
    <row r="63" spans="1:20" x14ac:dyDescent="0.25">
      <c r="A63" s="17" t="s">
        <v>59</v>
      </c>
      <c r="B63" s="17"/>
      <c r="C63" s="17"/>
      <c r="D63" s="17"/>
      <c r="E63" s="17"/>
      <c r="F63" s="17"/>
      <c r="G63" s="17"/>
      <c r="H63" s="17"/>
      <c r="I63" s="17"/>
    </row>
    <row r="64" spans="1:20" x14ac:dyDescent="0.25">
      <c r="A64" s="17" t="s">
        <v>74</v>
      </c>
    </row>
    <row r="65" spans="2:2" x14ac:dyDescent="0.25">
      <c r="B65" s="17"/>
    </row>
  </sheetData>
  <pageMargins left="0.7" right="0.7" top="0.75" bottom="0.75" header="0.3" footer="0.3"/>
  <pageSetup scale="71" fitToWidth="0" orientation="portrait" r:id="rId1"/>
  <rowBreaks count="1" manualBreakCount="1">
    <brk id="12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B7805-32C5-46E9-8A41-E6AC041F3429}">
  <sheetPr codeName="Sheet3"/>
  <dimension ref="A1:BB6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69" sqref="A69"/>
    </sheetView>
  </sheetViews>
  <sheetFormatPr defaultColWidth="8.625" defaultRowHeight="15.75" x14ac:dyDescent="0.25"/>
  <cols>
    <col min="16" max="16" width="12.625" customWidth="1"/>
  </cols>
  <sheetData>
    <row r="1" spans="1:54" ht="18.75" x14ac:dyDescent="0.3">
      <c r="A1" s="20" t="str">
        <f>Home_Page!$A$13</f>
        <v>The information below is only valid for UC employees first hired after July 1, 2016</v>
      </c>
      <c r="P1" t="s">
        <v>31</v>
      </c>
      <c r="U1" t="s">
        <v>32</v>
      </c>
      <c r="AA1" s="5" t="s">
        <v>23</v>
      </c>
      <c r="AI1" t="s">
        <v>33</v>
      </c>
    </row>
    <row r="2" spans="1:54" x14ac:dyDescent="0.25">
      <c r="A2" t="s">
        <v>0</v>
      </c>
      <c r="B2" t="s">
        <v>1</v>
      </c>
      <c r="C2" t="s">
        <v>45</v>
      </c>
      <c r="D2" t="s">
        <v>2</v>
      </c>
      <c r="E2" t="s">
        <v>3</v>
      </c>
      <c r="F2" t="s">
        <v>4</v>
      </c>
      <c r="G2" t="s">
        <v>8</v>
      </c>
      <c r="H2" t="s">
        <v>5</v>
      </c>
      <c r="I2" t="s">
        <v>6</v>
      </c>
      <c r="J2" t="s">
        <v>9</v>
      </c>
      <c r="K2" t="s">
        <v>7</v>
      </c>
      <c r="L2" t="s">
        <v>10</v>
      </c>
      <c r="M2" t="s">
        <v>60</v>
      </c>
      <c r="N2" t="s">
        <v>62</v>
      </c>
      <c r="O2" t="s">
        <v>11</v>
      </c>
      <c r="P2" t="s">
        <v>12</v>
      </c>
      <c r="Q2" t="s">
        <v>13</v>
      </c>
      <c r="S2" t="s">
        <v>14</v>
      </c>
      <c r="T2" t="s">
        <v>12</v>
      </c>
      <c r="U2" t="s">
        <v>13</v>
      </c>
      <c r="V2" t="s">
        <v>15</v>
      </c>
      <c r="W2" t="s">
        <v>16</v>
      </c>
      <c r="X2" t="s">
        <v>17</v>
      </c>
      <c r="Y2" t="s">
        <v>18</v>
      </c>
      <c r="AA2" s="5" t="s">
        <v>36</v>
      </c>
      <c r="AB2" s="5" t="s">
        <v>37</v>
      </c>
      <c r="AC2" s="5" t="s">
        <v>35</v>
      </c>
      <c r="AE2" t="s">
        <v>76</v>
      </c>
      <c r="AF2" t="s">
        <v>77</v>
      </c>
      <c r="AG2" t="s">
        <v>61</v>
      </c>
      <c r="AH2" t="s">
        <v>24</v>
      </c>
      <c r="AI2" t="s">
        <v>17</v>
      </c>
      <c r="AJ2" t="s">
        <v>25</v>
      </c>
      <c r="AK2" t="s">
        <v>26</v>
      </c>
      <c r="AL2" t="s">
        <v>27</v>
      </c>
      <c r="AM2" t="s">
        <v>28</v>
      </c>
      <c r="AN2" t="s">
        <v>29</v>
      </c>
      <c r="AO2" t="s">
        <v>27</v>
      </c>
      <c r="AP2" t="s">
        <v>30</v>
      </c>
      <c r="BA2" t="s">
        <v>45</v>
      </c>
      <c r="BB2" t="s">
        <v>85</v>
      </c>
    </row>
    <row r="3" spans="1:54" x14ac:dyDescent="0.25">
      <c r="A3">
        <f>$A$53</f>
        <v>35</v>
      </c>
      <c r="B3">
        <v>0</v>
      </c>
      <c r="C3">
        <f>BA3*$Q$53+BB3*(1-$Q$53)</f>
        <v>2.7</v>
      </c>
      <c r="D3" s="1">
        <f>$B$53</f>
        <v>125000</v>
      </c>
      <c r="E3" s="1">
        <v>290000</v>
      </c>
      <c r="F3" s="1">
        <v>128059</v>
      </c>
      <c r="G3" s="1">
        <f>MIN(D3,F3)</f>
        <v>125000</v>
      </c>
      <c r="H3" s="1">
        <v>0</v>
      </c>
      <c r="I3" s="1">
        <f>0.025*H3*B3</f>
        <v>0</v>
      </c>
      <c r="J3" s="1">
        <v>0</v>
      </c>
      <c r="K3" s="1">
        <v>0</v>
      </c>
      <c r="L3" s="1">
        <f>MIN(K3,(0.025*K3*B3))</f>
        <v>0</v>
      </c>
      <c r="M3" s="1">
        <v>0</v>
      </c>
      <c r="N3" s="28">
        <f>IF(A3&lt;55,0,0.011)+IF(AND(A3&gt;=55,A3&lt;65),0.0014*(A3-55),0)+IF(A3&gt;64,(0.025-0.011),0)</f>
        <v>0</v>
      </c>
      <c r="O3" s="1">
        <f>($A$56+$A$57)*MIN(D3,E3)</f>
        <v>18750.000000000004</v>
      </c>
      <c r="P3" s="1">
        <v>0</v>
      </c>
      <c r="Q3" s="1"/>
      <c r="R3" s="1"/>
      <c r="S3" s="1">
        <f>($A$57+0.03*(1-$Q$53))*IF(D3&gt;F3,(MIN(D3,E3))-F3,0)</f>
        <v>0</v>
      </c>
      <c r="T3" s="1">
        <v>0</v>
      </c>
      <c r="U3" s="1">
        <v>0</v>
      </c>
      <c r="V3" s="1">
        <f>0.05*MIN(D3,E3)*$Q$53</f>
        <v>6250</v>
      </c>
      <c r="W3" s="1">
        <v>0</v>
      </c>
      <c r="X3" s="1">
        <v>0</v>
      </c>
      <c r="Y3" s="1">
        <f>M3+U3+X3</f>
        <v>0</v>
      </c>
      <c r="AA3" s="6">
        <f>Y3/MAX(D3,$A$58)</f>
        <v>0</v>
      </c>
      <c r="AB3" s="6">
        <f>Q3/(MAX(D3,$A$58))</f>
        <v>0</v>
      </c>
      <c r="AC3" s="6">
        <f>AP3/(MAX(D3,$A$58))</f>
        <v>0</v>
      </c>
      <c r="AE3" s="1">
        <f>K3*(B3 &gt; $H$53)</f>
        <v>0</v>
      </c>
      <c r="AF3" s="1">
        <f>MIN(AE3,(0.025*AE3*MAX(0,(B3-$H$53))))</f>
        <v>0</v>
      </c>
      <c r="AG3" s="1">
        <f>MIN(AE3,(AE3*MAX($F$53,N3)*MAX(0,(B3-($H$53)))))</f>
        <v>0</v>
      </c>
      <c r="AH3" s="1">
        <v>0</v>
      </c>
      <c r="AI3" s="1"/>
      <c r="AJ3" s="1">
        <f>($A$57+0.03*(1-$Q$53))*IF(D3&gt;F3,(MIN(D3,E3))-F3,0)*(B3 &gt;= $H$53)</f>
        <v>0</v>
      </c>
      <c r="AK3" s="1">
        <v>0</v>
      </c>
      <c r="AL3" s="1">
        <v>0</v>
      </c>
      <c r="AM3" s="1">
        <f>0.05*MIN(D3,E3)*(B3&gt;$H$53-1)*$Q$53</f>
        <v>0</v>
      </c>
      <c r="AN3" s="1">
        <v>0</v>
      </c>
      <c r="AO3" s="1">
        <v>0</v>
      </c>
      <c r="AP3" s="1">
        <f t="shared" ref="AP3:AP50" si="0">AG3+AI3+AL3+AO3</f>
        <v>0</v>
      </c>
      <c r="BA3">
        <v>2.7</v>
      </c>
      <c r="BB3">
        <v>2.5</v>
      </c>
    </row>
    <row r="4" spans="1:54" x14ac:dyDescent="0.25">
      <c r="A4">
        <f>A3+1</f>
        <v>36</v>
      </c>
      <c r="B4">
        <f>B3+1</f>
        <v>1</v>
      </c>
      <c r="C4">
        <f t="shared" ref="C4:C50" si="1">BA4*$Q$53+BB4*(1-$Q$53)</f>
        <v>2.7</v>
      </c>
      <c r="D4" s="1">
        <f>D3*(1+0.005+(C3/100)+$D$53)</f>
        <v>132124.99999999997</v>
      </c>
      <c r="E4" s="1">
        <f>E3*(1+$D$53)</f>
        <v>297250</v>
      </c>
      <c r="F4" s="1">
        <f>F3*(1+$D$53)</f>
        <v>131260.47499999998</v>
      </c>
      <c r="G4" s="1">
        <f t="shared" ref="G4:G50" si="2">MIN(D4,F4)</f>
        <v>131260.47499999998</v>
      </c>
      <c r="H4" s="1">
        <v>0</v>
      </c>
      <c r="I4" s="1">
        <f t="shared" ref="I4:I7" si="3">0.025*H4*B4</f>
        <v>0</v>
      </c>
      <c r="J4" s="1">
        <v>0</v>
      </c>
      <c r="K4" s="1">
        <v>0</v>
      </c>
      <c r="L4" s="1">
        <f t="shared" ref="L4:L50" si="4">MIN(K4,(0.025*K4*B4))</f>
        <v>0</v>
      </c>
      <c r="M4" s="1">
        <v>0</v>
      </c>
      <c r="N4" s="28">
        <f t="shared" ref="N4:N50" si="5">IF(A4&lt;55,0,0.011)+IF(AND(A4&gt;=55,A4&lt;65),0.0014*(A4-55),0)+IF(A4&gt;64,(0.025-0.011),0)</f>
        <v>0</v>
      </c>
      <c r="O4" s="1">
        <f t="shared" ref="O4:O50" si="6">($A$56+$A$57)*MIN(D4,E4)</f>
        <v>19818.75</v>
      </c>
      <c r="P4" s="1">
        <f t="shared" ref="P4:P50" si="7">(1+$C$53)*P3+O3*($C$60/12)</f>
        <v>19323.23729378216</v>
      </c>
      <c r="Q4" s="1">
        <f>(P4*((1+$C$53)^(MAX(0,($E$53-A4))))*($C$53-$G$53)/(1-((1+$G$53)/(1+$C$53))^(MAX(0,($I$53-MAX($E$53,A4))))))</f>
        <v>5251.8884758029917</v>
      </c>
      <c r="R4" s="1"/>
      <c r="S4" s="1">
        <f t="shared" ref="S4:S50" si="8">($A$57+0.03*(1-$Q$53))*IF(D4&gt;F4,(MIN(D4,E4))-F4,0)</f>
        <v>60.516749999999597</v>
      </c>
      <c r="T4" s="1">
        <f t="shared" ref="T4:T50" si="9">(1+$C$53)*T3+S3*($C$60/12)</f>
        <v>0</v>
      </c>
      <c r="U4" s="1">
        <f>(T4*(1+$C$53)^(MAX(0,($E$53-A4)))*($C$53-$G$53)/(1-((1+$G$53)/(1+$C$53))^($I$53-MAX($E$53,A4))))</f>
        <v>0</v>
      </c>
      <c r="V4" s="1">
        <f t="shared" ref="V4:V50" si="10">0.05*MIN(D4,E4)*$Q$53</f>
        <v>6606.2499999999991</v>
      </c>
      <c r="W4" s="1">
        <f t="shared" ref="W4:W50" si="11">W3*(1+$C$53)+V3*$C$60/12</f>
        <v>6441.0790979273852</v>
      </c>
      <c r="X4" s="1">
        <f>(W4*(1+$C$53)^(MAX(0,($E$53-A4)))*($C$53-$G$53)/(1-((1+$G$53)/(1+$C$53))^($I$53-MAX($E$53,A4))))</f>
        <v>1750.62949193433</v>
      </c>
      <c r="Y4" s="1">
        <f t="shared" ref="Y4:Y50" si="12">M4+U4+X4</f>
        <v>1750.62949193433</v>
      </c>
      <c r="AA4" s="6">
        <f t="shared" ref="AA4:AA50" si="13">Y4/MAX(D4,$A$58)</f>
        <v>3.8458883686859086E-3</v>
      </c>
      <c r="AB4" s="6">
        <f t="shared" ref="AB4:AB50" si="14">Q4/(MAX(D4,$A$58))</f>
        <v>1.1537665106057729E-2</v>
      </c>
      <c r="AC4" s="6">
        <f t="shared" ref="AC4:AC50" si="15">AP4/(MAX(D4,$A$58))</f>
        <v>1.1537665106057729E-2</v>
      </c>
      <c r="AE4" s="1">
        <f t="shared" ref="AE4:AE9" si="16">K4*(B4 &gt; $H$53)</f>
        <v>0</v>
      </c>
      <c r="AF4" s="1">
        <f t="shared" ref="AF4:AF50" si="17">MIN(AE4,(0.025*AE4*MAX(0,(B4-$H$53))))</f>
        <v>0</v>
      </c>
      <c r="AG4" s="1">
        <f t="shared" ref="AG4:AG50" si="18">MIN(AE4,(AE4*MAX($F$53,N4)*MAX(0,(B4-($H$53)))))</f>
        <v>0</v>
      </c>
      <c r="AH4" s="1">
        <f>(1+$C$53)*AH3+O3*($C$60/12)*($H$53 &gt;= B4)</f>
        <v>19323.23729378216</v>
      </c>
      <c r="AI4" s="1">
        <f>(AH4*((1+$C$53)^(MAX(0,($E$53-A4))))*($C$53-$G$53)/(1-((1+$G$53)/(1+$C$53))^($I$53-MAX($E$53,A4))))</f>
        <v>5251.8884758029917</v>
      </c>
      <c r="AJ4" s="1">
        <f t="shared" ref="AJ4:AJ50" si="19">($A$57+0.03*(1-$Q$53))*IF(D4&gt;F4,(MIN(D4,E4))-F4,0)*(B4 &gt;= $H$53)</f>
        <v>0</v>
      </c>
      <c r="AK4" s="1">
        <f t="shared" ref="AK4:AK50" si="20">(1+$C$53)*AK3+AJ3*($C$60/12)</f>
        <v>0</v>
      </c>
      <c r="AL4" s="1">
        <f>(AK4*((1+$C$53)^(MAX(0,($E$53-A4))))*($C$53-$G$53)/(1-((1+$G$53)/(1+$C$53))^($I$53-MAX($E$53,A4))))</f>
        <v>0</v>
      </c>
      <c r="AM4" s="1">
        <f t="shared" ref="AM4:AM50" si="21">0.05*MIN(D4,E4)*(B4&gt;$H$53-1)*$Q$53</f>
        <v>0</v>
      </c>
      <c r="AN4" s="1">
        <f t="shared" ref="AN4:AN50" si="22">(1+$C$53)*AN3+($C$60/12)*AM3</f>
        <v>0</v>
      </c>
      <c r="AO4" s="1">
        <f>(AN4*((1+$C$53)^(MAX(0,($E$53-A4))))*($C$53-$G$53)/(1-((1+$G$53)/(1+$C$53))^($I$53-MAX($E$53,A4))))</f>
        <v>0</v>
      </c>
      <c r="AP4" s="1">
        <f t="shared" si="0"/>
        <v>5251.8884758029917</v>
      </c>
      <c r="BA4">
        <v>2.7</v>
      </c>
      <c r="BB4">
        <v>2.2999999999999998</v>
      </c>
    </row>
    <row r="5" spans="1:54" x14ac:dyDescent="0.25">
      <c r="A5">
        <f t="shared" ref="A5:B20" si="23">A4+1</f>
        <v>37</v>
      </c>
      <c r="B5">
        <f t="shared" si="23"/>
        <v>2</v>
      </c>
      <c r="C5">
        <f t="shared" si="1"/>
        <v>2.65</v>
      </c>
      <c r="D5" s="1">
        <f t="shared" ref="D5:D50" si="24">D4*(1+0.005+(C4/100)+$D$53)</f>
        <v>139656.12499999994</v>
      </c>
      <c r="E5" s="1">
        <f t="shared" ref="E5:F20" si="25">E4*(1+$D$53)</f>
        <v>304681.25</v>
      </c>
      <c r="F5" s="1">
        <f t="shared" si="25"/>
        <v>134541.98687499997</v>
      </c>
      <c r="G5" s="1">
        <f t="shared" si="2"/>
        <v>134541.98687499997</v>
      </c>
      <c r="H5" s="1">
        <v>0</v>
      </c>
      <c r="I5" s="1">
        <f t="shared" si="3"/>
        <v>0</v>
      </c>
      <c r="J5" s="1">
        <v>0</v>
      </c>
      <c r="K5" s="1">
        <v>0</v>
      </c>
      <c r="L5" s="1">
        <f t="shared" si="4"/>
        <v>0</v>
      </c>
      <c r="M5" s="1">
        <v>0</v>
      </c>
      <c r="N5" s="28">
        <f t="shared" si="5"/>
        <v>0</v>
      </c>
      <c r="O5" s="1">
        <f t="shared" si="6"/>
        <v>20948.418749999993</v>
      </c>
      <c r="P5" s="1">
        <f t="shared" si="7"/>
        <v>41052.217630640196</v>
      </c>
      <c r="Q5" s="1">
        <f t="shared" ref="Q5:Q50" si="26">(P5*((1+$C$53)^(MAX(0,($E$53-A5))))*($C$53-$G$53)/(1-((1+$G$53)/(1+$C$53))^(MAX(0,($I$53-MAX($E$53,A5))))))</f>
        <v>10452.119032171853</v>
      </c>
      <c r="R5" s="1"/>
      <c r="S5" s="1">
        <f t="shared" si="8"/>
        <v>357.98966874999786</v>
      </c>
      <c r="T5" s="1">
        <f t="shared" si="9"/>
        <v>62.366907759919116</v>
      </c>
      <c r="U5" s="1">
        <f t="shared" ref="U5:U50" si="27">(T5*(1+$C$53)^(MAX(0,($E$53-A5)))*($C$53-$G$53)/(1-((1+$G$53)/(1+$C$53))^($I$53-MAX($E$53,A5))))</f>
        <v>15.878955661791649</v>
      </c>
      <c r="V5" s="1">
        <f t="shared" si="10"/>
        <v>6982.8062499999978</v>
      </c>
      <c r="W5" s="1">
        <f t="shared" si="11"/>
        <v>13684.072543546728</v>
      </c>
      <c r="X5" s="1">
        <f t="shared" ref="X5:X50" si="28">(W5*(1+$C$53)^(MAX(0,($E$53-A5)))*($C$53-$G$53)/(1-((1+$G$53)/(1+$C$53))^($I$53-MAX($E$53,A5))))</f>
        <v>3484.0396773906173</v>
      </c>
      <c r="Y5" s="1">
        <f t="shared" si="12"/>
        <v>3499.9186330524089</v>
      </c>
      <c r="AA5" s="6">
        <f t="shared" si="13"/>
        <v>7.6888321739231099E-3</v>
      </c>
      <c r="AB5" s="6">
        <f t="shared" si="14"/>
        <v>2.2961844981564065E-2</v>
      </c>
      <c r="AC5" s="6">
        <f t="shared" si="15"/>
        <v>2.2961844981564065E-2</v>
      </c>
      <c r="AE5" s="1">
        <f t="shared" si="16"/>
        <v>0</v>
      </c>
      <c r="AF5" s="1">
        <f t="shared" si="17"/>
        <v>0</v>
      </c>
      <c r="AG5" s="1">
        <f t="shared" si="18"/>
        <v>0</v>
      </c>
      <c r="AH5" s="1">
        <f t="shared" ref="AH5:AH50" si="29">(1+$C$53)*AH4+O4*($C$60/12)*($H$53 &gt;= B5)</f>
        <v>41052.217630640196</v>
      </c>
      <c r="AI5" s="1">
        <f t="shared" ref="AI5:AI50" si="30">(AH5*((1+$C$53)^(MAX(0,($E$53-A5))))*($C$53-$G$53)/(1-((1+$G$53)/(1+$C$53))^($I$53-MAX($E$53,A5))))</f>
        <v>10452.119032171853</v>
      </c>
      <c r="AJ5" s="1">
        <f t="shared" si="19"/>
        <v>0</v>
      </c>
      <c r="AK5" s="1">
        <f t="shared" si="20"/>
        <v>0</v>
      </c>
      <c r="AL5" s="1">
        <f t="shared" ref="AL5:AL50" si="31">(AK5*((1+$C$53)^(MAX(0,($E$53-A5))))*($C$53-$G$53)/(1-((1+$G$53)/(1+$C$53))^($I$53-MAX($E$53,A5))))</f>
        <v>0</v>
      </c>
      <c r="AM5" s="1">
        <f t="shared" si="21"/>
        <v>0</v>
      </c>
      <c r="AN5" s="1">
        <f t="shared" si="22"/>
        <v>0</v>
      </c>
      <c r="AO5" s="1">
        <f t="shared" ref="AO5:AO50" si="32">(AN5*((1+$C$53)^(MAX(0,($E$53-A5))))*($C$53-$G$53)/(1-((1+$G$53)/(1+$C$53))^($I$53-MAX($E$53,A5))))</f>
        <v>0</v>
      </c>
      <c r="AP5" s="1">
        <f t="shared" si="0"/>
        <v>10452.119032171853</v>
      </c>
      <c r="BA5">
        <v>2.65</v>
      </c>
      <c r="BB5">
        <v>2.1</v>
      </c>
    </row>
    <row r="6" spans="1:54" x14ac:dyDescent="0.25">
      <c r="A6">
        <f t="shared" si="23"/>
        <v>38</v>
      </c>
      <c r="B6">
        <f t="shared" si="23"/>
        <v>3</v>
      </c>
      <c r="C6">
        <f t="shared" si="1"/>
        <v>2.65</v>
      </c>
      <c r="D6" s="1">
        <f t="shared" si="24"/>
        <v>147546.69606249992</v>
      </c>
      <c r="E6" s="1">
        <f t="shared" si="25"/>
        <v>312298.28125</v>
      </c>
      <c r="F6" s="1">
        <f t="shared" si="25"/>
        <v>137905.53654687497</v>
      </c>
      <c r="G6" s="1">
        <f t="shared" si="2"/>
        <v>137905.53654687497</v>
      </c>
      <c r="H6" s="1">
        <v>0</v>
      </c>
      <c r="I6" s="1">
        <f t="shared" si="3"/>
        <v>0</v>
      </c>
      <c r="J6" s="1">
        <v>0</v>
      </c>
      <c r="K6" s="1">
        <v>0</v>
      </c>
      <c r="L6" s="1">
        <f t="shared" si="4"/>
        <v>0</v>
      </c>
      <c r="M6" s="1">
        <v>0</v>
      </c>
      <c r="N6" s="28">
        <f t="shared" si="5"/>
        <v>0</v>
      </c>
      <c r="O6" s="1">
        <f t="shared" si="6"/>
        <v>22132.004409374993</v>
      </c>
      <c r="P6" s="1">
        <f t="shared" si="7"/>
        <v>65412.109863949219</v>
      </c>
      <c r="Q6" s="1">
        <f t="shared" si="26"/>
        <v>15601.199779789549</v>
      </c>
      <c r="R6" s="1"/>
      <c r="S6" s="1">
        <f t="shared" si="8"/>
        <v>674.88116609374674</v>
      </c>
      <c r="T6" s="1">
        <f t="shared" si="9"/>
        <v>435.51103765924319</v>
      </c>
      <c r="U6" s="1">
        <f t="shared" si="27"/>
        <v>103.87212274542416</v>
      </c>
      <c r="V6" s="1">
        <f t="shared" si="10"/>
        <v>7377.3348031249961</v>
      </c>
      <c r="W6" s="1">
        <f t="shared" si="11"/>
        <v>21804.036621316402</v>
      </c>
      <c r="X6" s="1">
        <f t="shared" si="28"/>
        <v>5200.3999265965158</v>
      </c>
      <c r="Y6" s="1">
        <f t="shared" si="12"/>
        <v>5304.2720493419401</v>
      </c>
      <c r="AA6" s="6">
        <f t="shared" si="13"/>
        <v>1.1652744497277765E-2</v>
      </c>
      <c r="AB6" s="6">
        <f t="shared" si="14"/>
        <v>3.4273655874688384E-2</v>
      </c>
      <c r="AC6" s="6">
        <f t="shared" si="15"/>
        <v>3.4273655874688384E-2</v>
      </c>
      <c r="AE6" s="1">
        <f t="shared" si="16"/>
        <v>0</v>
      </c>
      <c r="AF6" s="1">
        <f t="shared" si="17"/>
        <v>0</v>
      </c>
      <c r="AG6" s="1">
        <f t="shared" si="18"/>
        <v>0</v>
      </c>
      <c r="AH6" s="1">
        <f t="shared" si="29"/>
        <v>65412.109863949219</v>
      </c>
      <c r="AI6" s="1">
        <f t="shared" si="30"/>
        <v>15601.199779789549</v>
      </c>
      <c r="AJ6" s="1">
        <f t="shared" si="19"/>
        <v>0</v>
      </c>
      <c r="AK6" s="1">
        <f t="shared" si="20"/>
        <v>0</v>
      </c>
      <c r="AL6" s="1">
        <f t="shared" si="31"/>
        <v>0</v>
      </c>
      <c r="AM6" s="1">
        <f t="shared" si="21"/>
        <v>0</v>
      </c>
      <c r="AN6" s="1">
        <f t="shared" si="22"/>
        <v>0</v>
      </c>
      <c r="AO6" s="1">
        <f t="shared" si="32"/>
        <v>0</v>
      </c>
      <c r="AP6" s="1">
        <f t="shared" si="0"/>
        <v>15601.199779789549</v>
      </c>
      <c r="BA6">
        <v>2.65</v>
      </c>
      <c r="BB6">
        <v>1.9</v>
      </c>
    </row>
    <row r="7" spans="1:54" x14ac:dyDescent="0.25">
      <c r="A7">
        <f t="shared" si="23"/>
        <v>39</v>
      </c>
      <c r="B7">
        <f t="shared" si="23"/>
        <v>4</v>
      </c>
      <c r="C7">
        <f t="shared" si="1"/>
        <v>2.65</v>
      </c>
      <c r="D7" s="1">
        <f t="shared" si="24"/>
        <v>155883.08439003114</v>
      </c>
      <c r="E7" s="1">
        <f t="shared" si="25"/>
        <v>320105.73828125</v>
      </c>
      <c r="F7" s="1">
        <f t="shared" si="25"/>
        <v>141353.17496054684</v>
      </c>
      <c r="G7" s="1">
        <f t="shared" si="2"/>
        <v>141353.17496054684</v>
      </c>
      <c r="H7" s="1">
        <v>0</v>
      </c>
      <c r="I7" s="1">
        <f t="shared" si="3"/>
        <v>0</v>
      </c>
      <c r="J7" s="1">
        <v>0</v>
      </c>
      <c r="K7" s="1">
        <v>0</v>
      </c>
      <c r="L7" s="1">
        <f t="shared" si="4"/>
        <v>0</v>
      </c>
      <c r="M7" s="1">
        <v>0</v>
      </c>
      <c r="N7" s="28">
        <f t="shared" si="5"/>
        <v>0</v>
      </c>
      <c r="O7" s="1">
        <f t="shared" si="6"/>
        <v>23382.462658504675</v>
      </c>
      <c r="P7" s="1">
        <f t="shared" si="7"/>
        <v>92636.065839199713</v>
      </c>
      <c r="Q7" s="1">
        <f t="shared" si="26"/>
        <v>20697.222084106266</v>
      </c>
      <c r="R7" s="1"/>
      <c r="S7" s="1">
        <f t="shared" si="8"/>
        <v>1017.0936600639017</v>
      </c>
      <c r="T7" s="1">
        <f t="shared" si="9"/>
        <v>1160.4221083030488</v>
      </c>
      <c r="U7" s="1">
        <f t="shared" si="27"/>
        <v>259.26742321446693</v>
      </c>
      <c r="V7" s="1">
        <f t="shared" si="10"/>
        <v>7794.1542195015572</v>
      </c>
      <c r="W7" s="1">
        <f t="shared" si="11"/>
        <v>30878.688613066559</v>
      </c>
      <c r="X7" s="1">
        <f t="shared" si="28"/>
        <v>6899.0740280354194</v>
      </c>
      <c r="Y7" s="1">
        <f t="shared" si="12"/>
        <v>7158.3414512498866</v>
      </c>
      <c r="AA7" s="6">
        <f t="shared" si="13"/>
        <v>1.5725875893947788E-2</v>
      </c>
      <c r="AB7" s="6">
        <f t="shared" si="14"/>
        <v>4.5468904782028745E-2</v>
      </c>
      <c r="AC7" s="6">
        <f t="shared" si="15"/>
        <v>4.5468904782028745E-2</v>
      </c>
      <c r="AE7" s="1">
        <f t="shared" si="16"/>
        <v>0</v>
      </c>
      <c r="AF7" s="1">
        <f t="shared" si="17"/>
        <v>0</v>
      </c>
      <c r="AG7" s="1">
        <f t="shared" si="18"/>
        <v>0</v>
      </c>
      <c r="AH7" s="1">
        <f t="shared" si="29"/>
        <v>92636.065839199713</v>
      </c>
      <c r="AI7" s="1">
        <f t="shared" si="30"/>
        <v>20697.222084106266</v>
      </c>
      <c r="AJ7" s="1">
        <f t="shared" si="19"/>
        <v>0</v>
      </c>
      <c r="AK7" s="1">
        <f t="shared" si="20"/>
        <v>0</v>
      </c>
      <c r="AL7" s="1">
        <f t="shared" si="31"/>
        <v>0</v>
      </c>
      <c r="AM7" s="1">
        <f t="shared" si="21"/>
        <v>0</v>
      </c>
      <c r="AN7" s="1">
        <f t="shared" si="22"/>
        <v>0</v>
      </c>
      <c r="AO7" s="1">
        <f t="shared" si="32"/>
        <v>0</v>
      </c>
      <c r="AP7" s="1">
        <f t="shared" si="0"/>
        <v>20697.222084106266</v>
      </c>
      <c r="BA7">
        <v>2.65</v>
      </c>
      <c r="BB7">
        <v>1.8</v>
      </c>
    </row>
    <row r="8" spans="1:54" x14ac:dyDescent="0.25">
      <c r="A8">
        <f t="shared" si="23"/>
        <v>40</v>
      </c>
      <c r="B8">
        <f t="shared" si="23"/>
        <v>5</v>
      </c>
      <c r="C8">
        <f t="shared" si="1"/>
        <v>2.65</v>
      </c>
      <c r="D8" s="1">
        <f t="shared" si="24"/>
        <v>164690.47865806788</v>
      </c>
      <c r="E8" s="1">
        <f t="shared" si="25"/>
        <v>328108.38173828123</v>
      </c>
      <c r="F8" s="1">
        <f t="shared" si="25"/>
        <v>144887.00433456051</v>
      </c>
      <c r="G8" s="1">
        <f t="shared" si="2"/>
        <v>144887.00433456051</v>
      </c>
      <c r="H8" s="1">
        <f>MIN(E8,((1/3)*(D5+D6+D7)))</f>
        <v>147695.30181751034</v>
      </c>
      <c r="I8" s="1">
        <f>MIN(H8,(0.025*H8*B8))</f>
        <v>18461.912727188792</v>
      </c>
      <c r="J8" s="1">
        <f>MIN(H8,B8*H8*MAX($F$53,N8))</f>
        <v>13292.577163575928</v>
      </c>
      <c r="K8" s="1">
        <f t="shared" ref="K8:K50" si="33">(1/3)*(G5+G6+G7)</f>
        <v>137933.56612747393</v>
      </c>
      <c r="L8" s="1">
        <f t="shared" si="4"/>
        <v>17241.695765934241</v>
      </c>
      <c r="M8" s="1">
        <f>MIN(K8,B8*K8*MAX($F$53,N8))</f>
        <v>12414.020951472652</v>
      </c>
      <c r="N8" s="28">
        <f t="shared" si="5"/>
        <v>0</v>
      </c>
      <c r="O8" s="1">
        <f t="shared" si="6"/>
        <v>24703.571798710185</v>
      </c>
      <c r="P8" s="1">
        <f t="shared" si="7"/>
        <v>122986.3269213876</v>
      </c>
      <c r="Q8" s="1">
        <f t="shared" si="26"/>
        <v>25740.732683179431</v>
      </c>
      <c r="R8" s="1"/>
      <c r="S8" s="1">
        <f t="shared" si="8"/>
        <v>1386.243202645516</v>
      </c>
      <c r="T8" s="1">
        <f t="shared" si="9"/>
        <v>2286.939514929034</v>
      </c>
      <c r="U8" s="1">
        <f t="shared" si="27"/>
        <v>478.65075890929069</v>
      </c>
      <c r="V8" s="1">
        <f t="shared" si="10"/>
        <v>8234.5239329033939</v>
      </c>
      <c r="W8" s="1">
        <f t="shared" si="11"/>
        <v>40995.442307129197</v>
      </c>
      <c r="X8" s="1">
        <f t="shared" si="28"/>
        <v>8580.2442277264763</v>
      </c>
      <c r="Y8" s="1">
        <f t="shared" si="12"/>
        <v>21472.915938108417</v>
      </c>
      <c r="AA8" s="6">
        <f t="shared" si="13"/>
        <v>4.7172995787300082E-2</v>
      </c>
      <c r="AB8" s="6">
        <f t="shared" si="14"/>
        <v>5.6548792810698606E-2</v>
      </c>
      <c r="AC8" s="6">
        <f t="shared" si="15"/>
        <v>5.6548792810698606E-2</v>
      </c>
      <c r="AE8" s="1">
        <f t="shared" si="16"/>
        <v>0</v>
      </c>
      <c r="AF8" s="1">
        <f t="shared" si="17"/>
        <v>0</v>
      </c>
      <c r="AG8" s="1">
        <f t="shared" si="18"/>
        <v>0</v>
      </c>
      <c r="AH8" s="1">
        <f t="shared" si="29"/>
        <v>122986.3269213876</v>
      </c>
      <c r="AI8" s="1">
        <f t="shared" si="30"/>
        <v>25740.732683179431</v>
      </c>
      <c r="AJ8" s="1">
        <f t="shared" si="19"/>
        <v>0</v>
      </c>
      <c r="AK8" s="1">
        <f t="shared" si="20"/>
        <v>0</v>
      </c>
      <c r="AL8" s="1">
        <f t="shared" si="31"/>
        <v>0</v>
      </c>
      <c r="AM8" s="1">
        <f t="shared" si="21"/>
        <v>0</v>
      </c>
      <c r="AN8" s="1">
        <f t="shared" si="22"/>
        <v>0</v>
      </c>
      <c r="AO8" s="1">
        <f t="shared" si="32"/>
        <v>0</v>
      </c>
      <c r="AP8" s="1">
        <f t="shared" si="0"/>
        <v>25740.732683179431</v>
      </c>
      <c r="BA8">
        <v>2.65</v>
      </c>
      <c r="BB8">
        <v>1.65</v>
      </c>
    </row>
    <row r="9" spans="1:54" x14ac:dyDescent="0.25">
      <c r="A9">
        <f t="shared" si="23"/>
        <v>41</v>
      </c>
      <c r="B9">
        <f t="shared" si="23"/>
        <v>6</v>
      </c>
      <c r="C9">
        <f t="shared" si="1"/>
        <v>2.6</v>
      </c>
      <c r="D9" s="1">
        <f t="shared" si="24"/>
        <v>173995.49070224867</v>
      </c>
      <c r="E9" s="1">
        <f t="shared" si="25"/>
        <v>336311.09128173825</v>
      </c>
      <c r="F9" s="1">
        <f t="shared" si="25"/>
        <v>148509.17944292451</v>
      </c>
      <c r="G9" s="1">
        <f t="shared" si="2"/>
        <v>148509.17944292451</v>
      </c>
      <c r="H9" s="1">
        <f t="shared" ref="H9:H50" si="34">MIN(E9,((1/3)*(D6+D7+D8)))</f>
        <v>156040.08637019963</v>
      </c>
      <c r="I9" s="1">
        <f t="shared" ref="I9:I50" si="35">MIN(H9,(0.025*H9*B9))</f>
        <v>23406.012955529946</v>
      </c>
      <c r="J9" s="1">
        <f t="shared" ref="J9:J50" si="36">MIN(H9,B9*H9*MAX($F$53,N9))</f>
        <v>16852.329327981559</v>
      </c>
      <c r="K9" s="1">
        <f t="shared" si="33"/>
        <v>141381.90528066075</v>
      </c>
      <c r="L9" s="1">
        <f t="shared" si="4"/>
        <v>21207.285792099115</v>
      </c>
      <c r="M9" s="1">
        <f t="shared" ref="M9:M50" si="37">MIN(K9,B9*K9*MAX($F$53,N9))</f>
        <v>15269.245770311361</v>
      </c>
      <c r="N9" s="28">
        <f t="shared" si="5"/>
        <v>0</v>
      </c>
      <c r="O9" s="1">
        <f t="shared" si="6"/>
        <v>26099.323605337304</v>
      </c>
      <c r="P9" s="1">
        <f t="shared" si="7"/>
        <v>156746.72958167255</v>
      </c>
      <c r="Q9" s="1">
        <f t="shared" si="26"/>
        <v>30732.272681231705</v>
      </c>
      <c r="R9" s="1"/>
      <c r="S9" s="1">
        <f t="shared" si="8"/>
        <v>1784.0417881526919</v>
      </c>
      <c r="T9" s="1">
        <f t="shared" si="9"/>
        <v>3869.9322709393755</v>
      </c>
      <c r="U9" s="1">
        <f t="shared" si="27"/>
        <v>758.751484804906</v>
      </c>
      <c r="V9" s="1">
        <f t="shared" si="10"/>
        <v>8699.774535112434</v>
      </c>
      <c r="W9" s="1">
        <f t="shared" si="11"/>
        <v>52248.909860557513</v>
      </c>
      <c r="X9" s="1">
        <f t="shared" si="28"/>
        <v>10244.090893743902</v>
      </c>
      <c r="Y9" s="1">
        <f t="shared" si="12"/>
        <v>26272.08814886017</v>
      </c>
      <c r="AA9" s="6">
        <f t="shared" si="13"/>
        <v>5.7716106519575559E-2</v>
      </c>
      <c r="AB9" s="6">
        <f t="shared" si="14"/>
        <v>6.7514508691063679E-2</v>
      </c>
      <c r="AC9" s="6">
        <f t="shared" si="15"/>
        <v>6.7514508691063679E-2</v>
      </c>
      <c r="AE9" s="1">
        <f t="shared" si="16"/>
        <v>0</v>
      </c>
      <c r="AF9" s="1">
        <f t="shared" si="17"/>
        <v>0</v>
      </c>
      <c r="AG9" s="1">
        <f t="shared" si="18"/>
        <v>0</v>
      </c>
      <c r="AH9" s="1">
        <f t="shared" si="29"/>
        <v>156746.72958167255</v>
      </c>
      <c r="AI9" s="1">
        <f t="shared" si="30"/>
        <v>30732.272681231705</v>
      </c>
      <c r="AJ9" s="1">
        <f t="shared" si="19"/>
        <v>1784.0417881526919</v>
      </c>
      <c r="AK9" s="1">
        <f t="shared" si="20"/>
        <v>0</v>
      </c>
      <c r="AL9" s="1">
        <f t="shared" si="31"/>
        <v>0</v>
      </c>
      <c r="AM9" s="1">
        <f t="shared" si="21"/>
        <v>8699.774535112434</v>
      </c>
      <c r="AN9" s="1">
        <f t="shared" si="22"/>
        <v>0</v>
      </c>
      <c r="AO9" s="1">
        <f t="shared" si="32"/>
        <v>0</v>
      </c>
      <c r="AP9" s="1">
        <f t="shared" si="0"/>
        <v>30732.272681231705</v>
      </c>
      <c r="BA9">
        <v>2.6</v>
      </c>
      <c r="BB9">
        <v>1.5</v>
      </c>
    </row>
    <row r="10" spans="1:54" x14ac:dyDescent="0.25">
      <c r="A10">
        <f t="shared" si="23"/>
        <v>42</v>
      </c>
      <c r="B10">
        <f t="shared" si="23"/>
        <v>7</v>
      </c>
      <c r="C10">
        <f t="shared" si="1"/>
        <v>2.6</v>
      </c>
      <c r="D10" s="1">
        <f t="shared" si="24"/>
        <v>183739.23818157456</v>
      </c>
      <c r="E10" s="1">
        <f t="shared" si="25"/>
        <v>344718.86856378167</v>
      </c>
      <c r="F10" s="1">
        <f t="shared" si="25"/>
        <v>152221.90892899761</v>
      </c>
      <c r="G10" s="1">
        <f t="shared" si="2"/>
        <v>152221.90892899761</v>
      </c>
      <c r="H10" s="1">
        <f t="shared" si="34"/>
        <v>164856.3512501159</v>
      </c>
      <c r="I10" s="1">
        <f t="shared" si="35"/>
        <v>28849.861468770287</v>
      </c>
      <c r="J10" s="1">
        <f t="shared" si="36"/>
        <v>20771.900257514604</v>
      </c>
      <c r="K10" s="1">
        <f t="shared" si="33"/>
        <v>144916.45291267728</v>
      </c>
      <c r="L10" s="1">
        <f t="shared" si="4"/>
        <v>25360.379259718524</v>
      </c>
      <c r="M10" s="1">
        <f t="shared" si="37"/>
        <v>18259.473066997336</v>
      </c>
      <c r="N10" s="28">
        <f t="shared" si="5"/>
        <v>0</v>
      </c>
      <c r="O10" s="1">
        <f t="shared" si="6"/>
        <v>27560.885727236189</v>
      </c>
      <c r="P10" s="1">
        <f t="shared" si="7"/>
        <v>194224.3830675364</v>
      </c>
      <c r="Q10" s="1">
        <f t="shared" si="26"/>
        <v>35672.377606704526</v>
      </c>
      <c r="R10" s="1"/>
      <c r="S10" s="1">
        <f t="shared" si="8"/>
        <v>2206.2130476803868</v>
      </c>
      <c r="T10" s="1">
        <f t="shared" si="9"/>
        <v>5969.7373826676712</v>
      </c>
      <c r="U10" s="1">
        <f t="shared" si="27"/>
        <v>1096.4366201813691</v>
      </c>
      <c r="V10" s="1">
        <f t="shared" si="10"/>
        <v>9186.9619090787291</v>
      </c>
      <c r="W10" s="1">
        <f t="shared" si="11"/>
        <v>64741.461022512121</v>
      </c>
      <c r="X10" s="1">
        <f t="shared" si="28"/>
        <v>11890.792535568173</v>
      </c>
      <c r="Y10" s="1">
        <f t="shared" si="12"/>
        <v>31246.702222746877</v>
      </c>
      <c r="AA10" s="6">
        <f t="shared" si="13"/>
        <v>6.8644638509701414E-2</v>
      </c>
      <c r="AB10" s="6">
        <f t="shared" si="14"/>
        <v>7.8367228904277469E-2</v>
      </c>
      <c r="AC10" s="6">
        <f t="shared" si="15"/>
        <v>7.7604430698648919E-2</v>
      </c>
      <c r="AE10" s="1">
        <f t="shared" ref="AE10:AE50" si="38">K10*(B10 &gt;$H$53)</f>
        <v>144916.45291267728</v>
      </c>
      <c r="AF10" s="1">
        <f t="shared" si="17"/>
        <v>3622.9113228169322</v>
      </c>
      <c r="AG10" s="1">
        <f t="shared" si="18"/>
        <v>2608.4961524281907</v>
      </c>
      <c r="AH10" s="1">
        <f t="shared" si="29"/>
        <v>167327.13382843544</v>
      </c>
      <c r="AI10" s="1">
        <f t="shared" si="30"/>
        <v>30732.272681231712</v>
      </c>
      <c r="AJ10" s="1">
        <f t="shared" si="19"/>
        <v>2206.2130476803868</v>
      </c>
      <c r="AK10" s="1">
        <f t="shared" si="20"/>
        <v>1838.5846834398881</v>
      </c>
      <c r="AL10" s="1">
        <f t="shared" si="31"/>
        <v>337.68513537646277</v>
      </c>
      <c r="AM10" s="1">
        <f t="shared" si="21"/>
        <v>9186.9619090787291</v>
      </c>
      <c r="AN10" s="1">
        <f t="shared" si="22"/>
        <v>8965.7497463669806</v>
      </c>
      <c r="AO10" s="1">
        <f t="shared" si="32"/>
        <v>1646.7016418242708</v>
      </c>
      <c r="AP10" s="1">
        <f t="shared" si="0"/>
        <v>35325.155610860638</v>
      </c>
      <c r="BA10">
        <v>2.6</v>
      </c>
      <c r="BB10">
        <v>1.4</v>
      </c>
    </row>
    <row r="11" spans="1:54" x14ac:dyDescent="0.25">
      <c r="A11">
        <f t="shared" si="23"/>
        <v>43</v>
      </c>
      <c r="B11">
        <f t="shared" si="23"/>
        <v>8</v>
      </c>
      <c r="C11">
        <f t="shared" si="1"/>
        <v>2.5499999999999998</v>
      </c>
      <c r="D11" s="1">
        <f t="shared" si="24"/>
        <v>194028.6355197427</v>
      </c>
      <c r="E11" s="1">
        <f t="shared" si="25"/>
        <v>353336.84027787618</v>
      </c>
      <c r="F11" s="1">
        <f t="shared" si="25"/>
        <v>156027.45665222255</v>
      </c>
      <c r="G11" s="1">
        <f t="shared" si="2"/>
        <v>156027.45665222255</v>
      </c>
      <c r="H11" s="1">
        <f t="shared" si="34"/>
        <v>174141.73584729701</v>
      </c>
      <c r="I11" s="1">
        <f t="shared" si="35"/>
        <v>34828.347169459405</v>
      </c>
      <c r="J11" s="1">
        <f t="shared" si="36"/>
        <v>25076.409962010766</v>
      </c>
      <c r="K11" s="1">
        <f t="shared" si="33"/>
        <v>148539.3642354942</v>
      </c>
      <c r="L11" s="1">
        <f t="shared" si="4"/>
        <v>29707.872847098843</v>
      </c>
      <c r="M11" s="1">
        <f t="shared" si="37"/>
        <v>21389.668449911162</v>
      </c>
      <c r="N11" s="28">
        <f t="shared" si="5"/>
        <v>0</v>
      </c>
      <c r="O11" s="1">
        <f t="shared" si="6"/>
        <v>29104.295327961408</v>
      </c>
      <c r="P11" s="1">
        <f t="shared" si="7"/>
        <v>235738.02412108571</v>
      </c>
      <c r="Q11" s="1">
        <f t="shared" si="26"/>
        <v>40559.263603237821</v>
      </c>
      <c r="R11" s="1"/>
      <c r="S11" s="1">
        <f t="shared" si="8"/>
        <v>2660.0825207264111</v>
      </c>
      <c r="T11" s="1">
        <f t="shared" si="9"/>
        <v>8646.3574955159493</v>
      </c>
      <c r="U11" s="1">
        <f t="shared" si="27"/>
        <v>1487.6254867069404</v>
      </c>
      <c r="V11" s="1">
        <f t="shared" si="10"/>
        <v>9701.4317759871356</v>
      </c>
      <c r="W11" s="1">
        <f t="shared" si="11"/>
        <v>78579.341373695206</v>
      </c>
      <c r="X11" s="1">
        <f t="shared" si="28"/>
        <v>13519.754534412603</v>
      </c>
      <c r="Y11" s="1">
        <f t="shared" si="12"/>
        <v>36397.048471030706</v>
      </c>
      <c r="AA11" s="6">
        <f t="shared" si="13"/>
        <v>7.9959229530953857E-2</v>
      </c>
      <c r="AB11" s="6">
        <f t="shared" si="14"/>
        <v>8.9103034567184963E-2</v>
      </c>
      <c r="AC11" s="6">
        <f t="shared" si="15"/>
        <v>8.8059446487797219E-2</v>
      </c>
      <c r="AE11" s="1">
        <f t="shared" si="38"/>
        <v>148539.3642354942</v>
      </c>
      <c r="AF11" s="1">
        <f t="shared" si="17"/>
        <v>7426.9682117747107</v>
      </c>
      <c r="AG11" s="1">
        <f t="shared" si="18"/>
        <v>5347.4171124777904</v>
      </c>
      <c r="AH11" s="1">
        <f t="shared" si="29"/>
        <v>178621.71536185482</v>
      </c>
      <c r="AI11" s="1">
        <f t="shared" si="30"/>
        <v>30732.272681231712</v>
      </c>
      <c r="AJ11" s="1">
        <f t="shared" si="19"/>
        <v>2660.0825207264111</v>
      </c>
      <c r="AK11" s="1">
        <f t="shared" si="20"/>
        <v>4236.3519890902908</v>
      </c>
      <c r="AL11" s="1">
        <f t="shared" si="31"/>
        <v>728.87400190203402</v>
      </c>
      <c r="AM11" s="1">
        <f t="shared" si="21"/>
        <v>9701.4317759871356</v>
      </c>
      <c r="AN11" s="1">
        <f t="shared" si="22"/>
        <v>19038.769586410282</v>
      </c>
      <c r="AO11" s="1">
        <f t="shared" si="32"/>
        <v>3275.6636406687007</v>
      </c>
      <c r="AP11" s="1">
        <f t="shared" si="0"/>
        <v>40084.227436280242</v>
      </c>
      <c r="BA11">
        <v>2.5499999999999998</v>
      </c>
      <c r="BB11">
        <v>1.3</v>
      </c>
    </row>
    <row r="12" spans="1:54" x14ac:dyDescent="0.25">
      <c r="A12">
        <f t="shared" si="23"/>
        <v>44</v>
      </c>
      <c r="B12">
        <f t="shared" si="23"/>
        <v>9</v>
      </c>
      <c r="C12">
        <f t="shared" si="1"/>
        <v>2.5</v>
      </c>
      <c r="D12" s="1">
        <f t="shared" si="24"/>
        <v>204797.2247910884</v>
      </c>
      <c r="E12" s="1">
        <f t="shared" si="25"/>
        <v>362170.26128482306</v>
      </c>
      <c r="F12" s="1">
        <f t="shared" si="25"/>
        <v>159928.14306852809</v>
      </c>
      <c r="G12" s="1">
        <f t="shared" si="2"/>
        <v>159928.14306852809</v>
      </c>
      <c r="H12" s="1">
        <f t="shared" si="34"/>
        <v>183921.12146785532</v>
      </c>
      <c r="I12" s="1">
        <f t="shared" si="35"/>
        <v>41382.252330267453</v>
      </c>
      <c r="J12" s="1">
        <f t="shared" si="36"/>
        <v>29795.221677792561</v>
      </c>
      <c r="K12" s="1">
        <f t="shared" si="33"/>
        <v>152252.84834138156</v>
      </c>
      <c r="L12" s="1">
        <f t="shared" si="4"/>
        <v>34256.890876810852</v>
      </c>
      <c r="M12" s="1">
        <f t="shared" si="37"/>
        <v>24664.961431303811</v>
      </c>
      <c r="N12" s="28">
        <f t="shared" si="5"/>
        <v>0</v>
      </c>
      <c r="O12" s="1">
        <f t="shared" si="6"/>
        <v>30719.583718663263</v>
      </c>
      <c r="P12" s="1">
        <f t="shared" si="7"/>
        <v>281644.43167675304</v>
      </c>
      <c r="Q12" s="1">
        <f t="shared" si="26"/>
        <v>45393.503989504003</v>
      </c>
      <c r="R12" s="1"/>
      <c r="S12" s="1">
        <f t="shared" si="8"/>
        <v>3140.8357205792217</v>
      </c>
      <c r="T12" s="1">
        <f t="shared" si="9"/>
        <v>11971.394934145335</v>
      </c>
      <c r="U12" s="1">
        <f t="shared" si="27"/>
        <v>1929.4667409819367</v>
      </c>
      <c r="V12" s="1">
        <f t="shared" si="10"/>
        <v>10239.861239554421</v>
      </c>
      <c r="W12" s="1">
        <f t="shared" si="11"/>
        <v>93881.477225584313</v>
      </c>
      <c r="X12" s="1">
        <f t="shared" si="28"/>
        <v>15131.16799650133</v>
      </c>
      <c r="Y12" s="1">
        <f t="shared" si="12"/>
        <v>41725.59616878708</v>
      </c>
      <c r="AA12" s="6">
        <f t="shared" si="13"/>
        <v>9.1665304235628173E-2</v>
      </c>
      <c r="AB12" s="6">
        <f t="shared" si="14"/>
        <v>9.9723185180796467E-2</v>
      </c>
      <c r="AC12" s="6">
        <f t="shared" si="15"/>
        <v>9.8884456579564739E-2</v>
      </c>
      <c r="AE12" s="1">
        <f t="shared" si="38"/>
        <v>152252.84834138156</v>
      </c>
      <c r="AF12" s="1">
        <f t="shared" si="17"/>
        <v>11418.963625603617</v>
      </c>
      <c r="AG12" s="1">
        <f t="shared" si="18"/>
        <v>8221.6538104346037</v>
      </c>
      <c r="AH12" s="1">
        <f t="shared" si="29"/>
        <v>190678.68114877999</v>
      </c>
      <c r="AI12" s="1">
        <f t="shared" si="30"/>
        <v>30732.272681231705</v>
      </c>
      <c r="AJ12" s="1">
        <f t="shared" si="19"/>
        <v>3140.8357205792217</v>
      </c>
      <c r="AK12" s="1">
        <f t="shared" si="20"/>
        <v>7263.7140560359458</v>
      </c>
      <c r="AL12" s="1">
        <f t="shared" si="31"/>
        <v>1170.7152561770304</v>
      </c>
      <c r="AM12" s="1">
        <f t="shared" si="21"/>
        <v>10239.861239554421</v>
      </c>
      <c r="AN12" s="1">
        <f t="shared" si="22"/>
        <v>30321.916842657662</v>
      </c>
      <c r="AO12" s="1">
        <f t="shared" si="32"/>
        <v>4887.077102757431</v>
      </c>
      <c r="AP12" s="1">
        <f t="shared" si="0"/>
        <v>45011.718850600766</v>
      </c>
      <c r="BA12">
        <v>2.5</v>
      </c>
      <c r="BB12">
        <v>1.2</v>
      </c>
    </row>
    <row r="13" spans="1:54" x14ac:dyDescent="0.25">
      <c r="A13">
        <f t="shared" si="23"/>
        <v>45</v>
      </c>
      <c r="B13">
        <f t="shared" si="23"/>
        <v>10</v>
      </c>
      <c r="C13">
        <f t="shared" si="1"/>
        <v>2.4</v>
      </c>
      <c r="D13" s="1">
        <f t="shared" si="24"/>
        <v>216061.07215459819</v>
      </c>
      <c r="E13" s="1">
        <f t="shared" si="25"/>
        <v>371224.51781694358</v>
      </c>
      <c r="F13" s="1">
        <f t="shared" si="25"/>
        <v>163926.34664524128</v>
      </c>
      <c r="G13" s="1">
        <f t="shared" si="2"/>
        <v>163926.34664524128</v>
      </c>
      <c r="H13" s="1">
        <f t="shared" si="34"/>
        <v>194188.36616413519</v>
      </c>
      <c r="I13" s="1">
        <f t="shared" si="35"/>
        <v>48547.091541033798</v>
      </c>
      <c r="J13" s="1">
        <f t="shared" si="36"/>
        <v>34953.90590954433</v>
      </c>
      <c r="K13" s="1">
        <f t="shared" si="33"/>
        <v>156059.16954991606</v>
      </c>
      <c r="L13" s="1">
        <f t="shared" si="4"/>
        <v>39014.792387479014</v>
      </c>
      <c r="M13" s="1">
        <f t="shared" si="37"/>
        <v>28090.650518984887</v>
      </c>
      <c r="N13" s="28">
        <f t="shared" si="5"/>
        <v>0</v>
      </c>
      <c r="O13" s="1">
        <f t="shared" si="6"/>
        <v>32409.160823189733</v>
      </c>
      <c r="P13" s="1">
        <f t="shared" si="7"/>
        <v>332314.19378890382</v>
      </c>
      <c r="Q13" s="1">
        <f t="shared" si="26"/>
        <v>50173.401626697399</v>
      </c>
      <c r="R13" s="1"/>
      <c r="S13" s="1">
        <f t="shared" si="8"/>
        <v>3649.430785654984</v>
      </c>
      <c r="T13" s="1">
        <f t="shared" si="9"/>
        <v>16016.323501775587</v>
      </c>
      <c r="U13" s="1">
        <f t="shared" si="27"/>
        <v>2418.1736641323432</v>
      </c>
      <c r="V13" s="1">
        <f t="shared" si="10"/>
        <v>10803.053607729911</v>
      </c>
      <c r="W13" s="1">
        <f t="shared" si="11"/>
        <v>110771.39792963456</v>
      </c>
      <c r="X13" s="1">
        <f t="shared" si="28"/>
        <v>16724.467208899128</v>
      </c>
      <c r="Y13" s="1">
        <f t="shared" si="12"/>
        <v>47233.291392016356</v>
      </c>
      <c r="AA13" s="6">
        <f t="shared" si="13"/>
        <v>0.10376494102049676</v>
      </c>
      <c r="AB13" s="6">
        <f t="shared" si="14"/>
        <v>0.11022395236830648</v>
      </c>
      <c r="AC13" s="6">
        <f t="shared" si="15"/>
        <v>0.11008100213620393</v>
      </c>
      <c r="AE13" s="1">
        <f t="shared" si="38"/>
        <v>156059.16954991606</v>
      </c>
      <c r="AF13" s="1">
        <f t="shared" si="17"/>
        <v>15605.916954991606</v>
      </c>
      <c r="AG13" s="1">
        <f t="shared" si="18"/>
        <v>11236.260207593956</v>
      </c>
      <c r="AH13" s="1">
        <f t="shared" si="29"/>
        <v>203549.49212632261</v>
      </c>
      <c r="AI13" s="1">
        <f t="shared" si="30"/>
        <v>30732.272681231701</v>
      </c>
      <c r="AJ13" s="1">
        <f t="shared" si="19"/>
        <v>3649.430785654984</v>
      </c>
      <c r="AK13" s="1">
        <f t="shared" si="20"/>
        <v>10990.874164393816</v>
      </c>
      <c r="AL13" s="1">
        <f t="shared" si="31"/>
        <v>1659.4221793274376</v>
      </c>
      <c r="AM13" s="1">
        <f t="shared" si="21"/>
        <v>10803.053607729911</v>
      </c>
      <c r="AN13" s="1">
        <f t="shared" si="22"/>
        <v>42921.567220860379</v>
      </c>
      <c r="AO13" s="1">
        <f t="shared" si="32"/>
        <v>6480.3763151552312</v>
      </c>
      <c r="AP13" s="1">
        <f t="shared" si="0"/>
        <v>50108.33138330833</v>
      </c>
      <c r="BA13">
        <v>2.4</v>
      </c>
      <c r="BB13">
        <v>1.1000000000000001</v>
      </c>
    </row>
    <row r="14" spans="1:54" x14ac:dyDescent="0.25">
      <c r="A14">
        <f t="shared" si="23"/>
        <v>46</v>
      </c>
      <c r="B14">
        <f t="shared" si="23"/>
        <v>11</v>
      </c>
      <c r="C14">
        <f t="shared" si="1"/>
        <v>2.4</v>
      </c>
      <c r="D14" s="1">
        <f t="shared" si="24"/>
        <v>227728.37005094645</v>
      </c>
      <c r="E14" s="1">
        <f t="shared" si="25"/>
        <v>380505.13076236716</v>
      </c>
      <c r="F14" s="1">
        <f t="shared" si="25"/>
        <v>168024.50531137231</v>
      </c>
      <c r="G14" s="1">
        <f t="shared" si="2"/>
        <v>168024.50531137231</v>
      </c>
      <c r="H14" s="1">
        <f t="shared" si="34"/>
        <v>204962.31082180975</v>
      </c>
      <c r="I14" s="1">
        <f t="shared" si="35"/>
        <v>56364.635475997689</v>
      </c>
      <c r="J14" s="1">
        <f t="shared" si="36"/>
        <v>40582.537542718332</v>
      </c>
      <c r="K14" s="1">
        <f t="shared" si="33"/>
        <v>159960.64878866397</v>
      </c>
      <c r="L14" s="1">
        <f t="shared" si="4"/>
        <v>43989.178416882591</v>
      </c>
      <c r="M14" s="1">
        <f t="shared" si="37"/>
        <v>31672.208460155463</v>
      </c>
      <c r="N14" s="28">
        <f t="shared" si="5"/>
        <v>0</v>
      </c>
      <c r="O14" s="1">
        <f t="shared" si="6"/>
        <v>34159.255507641974</v>
      </c>
      <c r="P14" s="1">
        <f t="shared" si="7"/>
        <v>388145.39680719306</v>
      </c>
      <c r="Q14" s="1">
        <f t="shared" si="26"/>
        <v>54897.328565563024</v>
      </c>
      <c r="R14" s="1"/>
      <c r="S14" s="1">
        <f t="shared" si="8"/>
        <v>4179.2705317701902</v>
      </c>
      <c r="T14" s="1">
        <f t="shared" si="9"/>
        <v>20858.428914595843</v>
      </c>
      <c r="U14" s="1">
        <f t="shared" si="27"/>
        <v>2950.1110534999079</v>
      </c>
      <c r="V14" s="1">
        <f t="shared" si="10"/>
        <v>11386.418502547323</v>
      </c>
      <c r="W14" s="1">
        <f t="shared" si="11"/>
        <v>129381.79893573099</v>
      </c>
      <c r="X14" s="1">
        <f t="shared" si="28"/>
        <v>18299.109521854334</v>
      </c>
      <c r="Y14" s="1">
        <f t="shared" si="12"/>
        <v>52921.429035509704</v>
      </c>
      <c r="AA14" s="6">
        <f t="shared" si="13"/>
        <v>0.11626098458847302</v>
      </c>
      <c r="AB14" s="6">
        <f t="shared" si="14"/>
        <v>0.12060175975268411</v>
      </c>
      <c r="AC14" s="6">
        <f t="shared" si="15"/>
        <v>0.12165137719524503</v>
      </c>
      <c r="AE14" s="1">
        <f t="shared" si="38"/>
        <v>159960.64878866397</v>
      </c>
      <c r="AF14" s="1">
        <f t="shared" si="17"/>
        <v>19995.081098582996</v>
      </c>
      <c r="AG14" s="1">
        <f t="shared" si="18"/>
        <v>14396.458390979755</v>
      </c>
      <c r="AH14" s="1">
        <f t="shared" si="29"/>
        <v>217289.08284484936</v>
      </c>
      <c r="AI14" s="1">
        <f t="shared" si="30"/>
        <v>30732.272681231705</v>
      </c>
      <c r="AJ14" s="1">
        <f t="shared" si="19"/>
        <v>4179.2705317701902</v>
      </c>
      <c r="AK14" s="1">
        <f t="shared" si="20"/>
        <v>15493.761746940803</v>
      </c>
      <c r="AL14" s="1">
        <f t="shared" si="31"/>
        <v>2191.3595686950021</v>
      </c>
      <c r="AM14" s="1">
        <f t="shared" si="21"/>
        <v>11386.418502547323</v>
      </c>
      <c r="AN14" s="1">
        <f t="shared" si="22"/>
        <v>56952.104654114555</v>
      </c>
      <c r="AO14" s="1">
        <f t="shared" si="32"/>
        <v>8055.0186281104379</v>
      </c>
      <c r="AP14" s="1">
        <f t="shared" si="0"/>
        <v>55375.109269016903</v>
      </c>
      <c r="BA14">
        <v>2.4</v>
      </c>
      <c r="BB14">
        <v>1</v>
      </c>
    </row>
    <row r="15" spans="1:54" x14ac:dyDescent="0.25">
      <c r="A15">
        <f t="shared" si="23"/>
        <v>47</v>
      </c>
      <c r="B15">
        <f t="shared" si="23"/>
        <v>12</v>
      </c>
      <c r="C15">
        <f t="shared" si="1"/>
        <v>2.2999999999999998</v>
      </c>
      <c r="D15" s="1">
        <f t="shared" si="24"/>
        <v>240025.70203369751</v>
      </c>
      <c r="E15" s="1">
        <f t="shared" si="25"/>
        <v>390017.75903142628</v>
      </c>
      <c r="F15" s="1">
        <f t="shared" si="25"/>
        <v>172225.11794415661</v>
      </c>
      <c r="G15" s="1">
        <f t="shared" si="2"/>
        <v>172225.11794415661</v>
      </c>
      <c r="H15" s="1">
        <f t="shared" si="34"/>
        <v>216195.55566554435</v>
      </c>
      <c r="I15" s="1">
        <f t="shared" si="35"/>
        <v>64858.666699663314</v>
      </c>
      <c r="J15" s="1">
        <f t="shared" si="36"/>
        <v>46698.240023757578</v>
      </c>
      <c r="K15" s="1">
        <f t="shared" si="33"/>
        <v>163959.66500838057</v>
      </c>
      <c r="L15" s="1">
        <f t="shared" si="4"/>
        <v>49187.899502514178</v>
      </c>
      <c r="M15" s="1">
        <f t="shared" si="37"/>
        <v>35415.287641810202</v>
      </c>
      <c r="N15" s="28">
        <f t="shared" si="5"/>
        <v>0</v>
      </c>
      <c r="O15" s="1">
        <f t="shared" si="6"/>
        <v>36003.855305054632</v>
      </c>
      <c r="P15" s="1">
        <f t="shared" si="7"/>
        <v>449548.80575584393</v>
      </c>
      <c r="Q15" s="1">
        <f t="shared" si="26"/>
        <v>59561.514976396138</v>
      </c>
      <c r="R15" s="1"/>
      <c r="S15" s="1">
        <f t="shared" si="8"/>
        <v>4746.0408862678642</v>
      </c>
      <c r="T15" s="1">
        <f t="shared" si="9"/>
        <v>26573.414797014077</v>
      </c>
      <c r="U15" s="1">
        <f t="shared" si="27"/>
        <v>3520.7586432027033</v>
      </c>
      <c r="V15" s="1">
        <f t="shared" si="10"/>
        <v>12001.285101684876</v>
      </c>
      <c r="W15" s="1">
        <f t="shared" si="11"/>
        <v>149849.60191861461</v>
      </c>
      <c r="X15" s="1">
        <f t="shared" si="28"/>
        <v>19853.838325465378</v>
      </c>
      <c r="Y15" s="1">
        <f t="shared" si="12"/>
        <v>58789.884610478286</v>
      </c>
      <c r="AA15" s="6">
        <f t="shared" si="13"/>
        <v>0.1291531614550834</v>
      </c>
      <c r="AB15" s="6">
        <f t="shared" si="14"/>
        <v>0.13084832554484707</v>
      </c>
      <c r="AC15" s="6">
        <f t="shared" si="15"/>
        <v>0.13359474384019684</v>
      </c>
      <c r="AE15" s="1">
        <f t="shared" si="38"/>
        <v>163959.66500838057</v>
      </c>
      <c r="AF15" s="1">
        <f t="shared" si="17"/>
        <v>24593.949751257089</v>
      </c>
      <c r="AG15" s="1">
        <f t="shared" si="18"/>
        <v>17707.643820905098</v>
      </c>
      <c r="AH15" s="1">
        <f t="shared" si="29"/>
        <v>231956.09593687666</v>
      </c>
      <c r="AI15" s="1">
        <f t="shared" si="30"/>
        <v>30732.272681231705</v>
      </c>
      <c r="AJ15" s="1">
        <f t="shared" si="19"/>
        <v>4746.0408862678642</v>
      </c>
      <c r="AK15" s="1">
        <f t="shared" si="20"/>
        <v>20846.63259554232</v>
      </c>
      <c r="AL15" s="1">
        <f t="shared" si="31"/>
        <v>2762.0071583977974</v>
      </c>
      <c r="AM15" s="1">
        <f t="shared" si="21"/>
        <v>12001.285101684876</v>
      </c>
      <c r="AN15" s="1">
        <f t="shared" si="22"/>
        <v>72530.903272989075</v>
      </c>
      <c r="AO15" s="1">
        <f t="shared" si="32"/>
        <v>9609.7474317214783</v>
      </c>
      <c r="AP15" s="1">
        <f t="shared" si="0"/>
        <v>60811.671092256081</v>
      </c>
      <c r="BA15">
        <v>2.2999999999999998</v>
      </c>
      <c r="BB15">
        <v>0.9</v>
      </c>
    </row>
    <row r="16" spans="1:54" x14ac:dyDescent="0.25">
      <c r="A16">
        <f t="shared" si="23"/>
        <v>48</v>
      </c>
      <c r="B16">
        <f t="shared" si="23"/>
        <v>13</v>
      </c>
      <c r="C16">
        <f t="shared" si="1"/>
        <v>2.2000000000000002</v>
      </c>
      <c r="D16" s="1">
        <f t="shared" si="24"/>
        <v>252747.0642414834</v>
      </c>
      <c r="E16" s="1">
        <f t="shared" si="25"/>
        <v>399768.20300721191</v>
      </c>
      <c r="F16" s="1">
        <f t="shared" si="25"/>
        <v>176530.74589276052</v>
      </c>
      <c r="G16" s="1">
        <f t="shared" si="2"/>
        <v>176530.74589276052</v>
      </c>
      <c r="H16" s="1">
        <f t="shared" si="34"/>
        <v>227938.38141308073</v>
      </c>
      <c r="I16" s="1">
        <f t="shared" si="35"/>
        <v>74079.973959251249</v>
      </c>
      <c r="J16" s="1">
        <f t="shared" si="36"/>
        <v>53337.581250660885</v>
      </c>
      <c r="K16" s="1">
        <f t="shared" si="33"/>
        <v>168058.65663359006</v>
      </c>
      <c r="L16" s="1">
        <f t="shared" si="4"/>
        <v>54619.063405916771</v>
      </c>
      <c r="M16" s="1">
        <f t="shared" si="37"/>
        <v>39325.725652260073</v>
      </c>
      <c r="N16" s="28">
        <f t="shared" si="5"/>
        <v>0</v>
      </c>
      <c r="O16" s="1">
        <f t="shared" si="6"/>
        <v>37912.059636222519</v>
      </c>
      <c r="P16" s="1">
        <f t="shared" si="7"/>
        <v>516997.93892039364</v>
      </c>
      <c r="Q16" s="1">
        <f t="shared" si="26"/>
        <v>64166.716360019665</v>
      </c>
      <c r="R16" s="1"/>
      <c r="S16" s="1">
        <f t="shared" si="8"/>
        <v>5335.1422844106019</v>
      </c>
      <c r="T16" s="1">
        <f t="shared" si="9"/>
        <v>33258.260255884321</v>
      </c>
      <c r="U16" s="1">
        <f t="shared" si="27"/>
        <v>4127.8179114668474</v>
      </c>
      <c r="V16" s="1">
        <f t="shared" si="10"/>
        <v>12637.353212074171</v>
      </c>
      <c r="W16" s="1">
        <f t="shared" si="11"/>
        <v>172332.64630679786</v>
      </c>
      <c r="X16" s="1">
        <f t="shared" si="28"/>
        <v>21388.905453339885</v>
      </c>
      <c r="Y16" s="1">
        <f t="shared" si="12"/>
        <v>64842.4490170668</v>
      </c>
      <c r="AA16" s="6">
        <f t="shared" si="13"/>
        <v>0.14244979969822244</v>
      </c>
      <c r="AB16" s="6">
        <f t="shared" si="14"/>
        <v>0.14096530947453306</v>
      </c>
      <c r="AC16" s="6">
        <f t="shared" si="15"/>
        <v>0.14591885160613588</v>
      </c>
      <c r="AE16" s="1">
        <f t="shared" si="38"/>
        <v>168058.65663359006</v>
      </c>
      <c r="AF16" s="1">
        <f t="shared" si="17"/>
        <v>29410.264910878264</v>
      </c>
      <c r="AG16" s="1">
        <f t="shared" si="18"/>
        <v>21175.390735832345</v>
      </c>
      <c r="AH16" s="1">
        <f t="shared" si="29"/>
        <v>247613.13241261581</v>
      </c>
      <c r="AI16" s="1">
        <f t="shared" si="30"/>
        <v>30732.272681231705</v>
      </c>
      <c r="AJ16" s="1">
        <f t="shared" si="19"/>
        <v>5335.1422844106019</v>
      </c>
      <c r="AK16" s="1">
        <f t="shared" si="20"/>
        <v>27144.920255813216</v>
      </c>
      <c r="AL16" s="1">
        <f t="shared" si="31"/>
        <v>3369.0664266619406</v>
      </c>
      <c r="AM16" s="1">
        <f t="shared" si="21"/>
        <v>12637.353212074171</v>
      </c>
      <c r="AN16" s="1">
        <f t="shared" si="22"/>
        <v>89794.935502592591</v>
      </c>
      <c r="AO16" s="1">
        <f t="shared" si="32"/>
        <v>11144.814559595983</v>
      </c>
      <c r="AP16" s="1">
        <f t="shared" si="0"/>
        <v>66421.544403321968</v>
      </c>
      <c r="BA16">
        <v>2.2000000000000002</v>
      </c>
      <c r="BB16">
        <v>0.85</v>
      </c>
    </row>
    <row r="17" spans="1:54" x14ac:dyDescent="0.25">
      <c r="A17">
        <f t="shared" si="23"/>
        <v>49</v>
      </c>
      <c r="B17">
        <f t="shared" si="23"/>
        <v>14</v>
      </c>
      <c r="C17">
        <f t="shared" si="1"/>
        <v>2.1</v>
      </c>
      <c r="D17" s="1">
        <f t="shared" si="24"/>
        <v>265889.91158204048</v>
      </c>
      <c r="E17" s="1">
        <f t="shared" si="25"/>
        <v>409762.40808239218</v>
      </c>
      <c r="F17" s="1">
        <f t="shared" si="25"/>
        <v>180944.01454007952</v>
      </c>
      <c r="G17" s="1">
        <f t="shared" si="2"/>
        <v>180944.01454007952</v>
      </c>
      <c r="H17" s="1">
        <f t="shared" si="34"/>
        <v>240167.04544204246</v>
      </c>
      <c r="I17" s="1">
        <f t="shared" si="35"/>
        <v>84058.46590471486</v>
      </c>
      <c r="J17" s="1">
        <f t="shared" si="36"/>
        <v>60522.0954513947</v>
      </c>
      <c r="K17" s="1">
        <f t="shared" si="33"/>
        <v>172260.12304942979</v>
      </c>
      <c r="L17" s="1">
        <f t="shared" si="4"/>
        <v>60291.043067300423</v>
      </c>
      <c r="M17" s="1">
        <f t="shared" si="37"/>
        <v>43409.551008456299</v>
      </c>
      <c r="N17" s="28">
        <f t="shared" si="5"/>
        <v>0</v>
      </c>
      <c r="O17" s="1">
        <f t="shared" si="6"/>
        <v>39883.486737306077</v>
      </c>
      <c r="P17" s="1">
        <f t="shared" si="7"/>
        <v>590966.43177868007</v>
      </c>
      <c r="Q17" s="1">
        <f t="shared" si="26"/>
        <v>68709.36465693354</v>
      </c>
      <c r="R17" s="1"/>
      <c r="S17" s="1">
        <f t="shared" si="8"/>
        <v>5946.2127929372682</v>
      </c>
      <c r="T17" s="1">
        <f t="shared" si="9"/>
        <v>41001.444575570218</v>
      </c>
      <c r="U17" s="1">
        <f t="shared" si="27"/>
        <v>4767.0782218962868</v>
      </c>
      <c r="V17" s="1">
        <f t="shared" si="10"/>
        <v>13294.495579102026</v>
      </c>
      <c r="W17" s="1">
        <f t="shared" si="11"/>
        <v>196988.81059289334</v>
      </c>
      <c r="X17" s="1">
        <f t="shared" si="28"/>
        <v>22903.121552311175</v>
      </c>
      <c r="Y17" s="1">
        <f t="shared" si="12"/>
        <v>71079.750782663759</v>
      </c>
      <c r="AA17" s="6">
        <f t="shared" si="13"/>
        <v>0.15615228010473514</v>
      </c>
      <c r="AB17" s="6">
        <f t="shared" si="14"/>
        <v>0.15094487301360504</v>
      </c>
      <c r="AC17" s="6">
        <f t="shared" si="15"/>
        <v>0.1586244882735186</v>
      </c>
      <c r="AE17" s="1">
        <f t="shared" si="38"/>
        <v>172260.12304942979</v>
      </c>
      <c r="AF17" s="1">
        <f t="shared" si="17"/>
        <v>34452.024609885957</v>
      </c>
      <c r="AG17" s="1">
        <f t="shared" si="18"/>
        <v>24805.457719117887</v>
      </c>
      <c r="AH17" s="1">
        <f t="shared" si="29"/>
        <v>264327.01885046734</v>
      </c>
      <c r="AI17" s="1">
        <f t="shared" si="30"/>
        <v>30732.272681231701</v>
      </c>
      <c r="AJ17" s="1">
        <f t="shared" si="19"/>
        <v>5946.2127929372682</v>
      </c>
      <c r="AK17" s="1">
        <f t="shared" si="20"/>
        <v>34475.454125494318</v>
      </c>
      <c r="AL17" s="1">
        <f t="shared" si="31"/>
        <v>4008.3267370913804</v>
      </c>
      <c r="AM17" s="1">
        <f t="shared" si="21"/>
        <v>13294.495579102026</v>
      </c>
      <c r="AN17" s="1">
        <f t="shared" si="22"/>
        <v>108879.80430940421</v>
      </c>
      <c r="AO17" s="1">
        <f t="shared" si="32"/>
        <v>12659.030658567277</v>
      </c>
      <c r="AP17" s="1">
        <f t="shared" si="0"/>
        <v>72205.087796008243</v>
      </c>
      <c r="BA17">
        <v>2.1</v>
      </c>
      <c r="BB17">
        <v>0.8</v>
      </c>
    </row>
    <row r="18" spans="1:54" x14ac:dyDescent="0.25">
      <c r="A18">
        <f t="shared" si="23"/>
        <v>50</v>
      </c>
      <c r="B18">
        <f t="shared" si="23"/>
        <v>15</v>
      </c>
      <c r="C18">
        <f t="shared" si="1"/>
        <v>2</v>
      </c>
      <c r="D18" s="1">
        <f t="shared" si="24"/>
        <v>279450.2970727245</v>
      </c>
      <c r="E18" s="1">
        <f t="shared" si="25"/>
        <v>420006.46828445193</v>
      </c>
      <c r="F18" s="1">
        <f t="shared" si="25"/>
        <v>185467.61490358147</v>
      </c>
      <c r="G18" s="1">
        <f t="shared" si="2"/>
        <v>185467.61490358147</v>
      </c>
      <c r="H18" s="1">
        <f t="shared" si="34"/>
        <v>252887.55928574043</v>
      </c>
      <c r="I18" s="1">
        <f t="shared" si="35"/>
        <v>94832.834732152667</v>
      </c>
      <c r="J18" s="1">
        <f t="shared" si="36"/>
        <v>68279.641007149912</v>
      </c>
      <c r="K18" s="1">
        <f t="shared" si="33"/>
        <v>176566.62612566553</v>
      </c>
      <c r="L18" s="1">
        <f t="shared" si="4"/>
        <v>66212.484797124576</v>
      </c>
      <c r="M18" s="1">
        <f t="shared" si="37"/>
        <v>47672.98905392969</v>
      </c>
      <c r="N18" s="28">
        <f t="shared" si="5"/>
        <v>0</v>
      </c>
      <c r="O18" s="1">
        <f t="shared" si="6"/>
        <v>41917.544560908682</v>
      </c>
      <c r="P18" s="1">
        <f t="shared" si="7"/>
        <v>671959.49676792114</v>
      </c>
      <c r="Q18" s="1">
        <f t="shared" si="26"/>
        <v>73186.054126117058</v>
      </c>
      <c r="R18" s="1"/>
      <c r="S18" s="1">
        <f t="shared" si="8"/>
        <v>6578.7877518400119</v>
      </c>
      <c r="T18" s="1">
        <f t="shared" si="9"/>
        <v>49897.046393607874</v>
      </c>
      <c r="U18" s="1">
        <f t="shared" si="27"/>
        <v>5434.5060314806351</v>
      </c>
      <c r="V18" s="1">
        <f t="shared" si="10"/>
        <v>13972.514853636225</v>
      </c>
      <c r="W18" s="1">
        <f t="shared" si="11"/>
        <v>223986.49892264037</v>
      </c>
      <c r="X18" s="1">
        <f t="shared" si="28"/>
        <v>24395.351375372353</v>
      </c>
      <c r="Y18" s="1">
        <f t="shared" si="12"/>
        <v>77502.846460782675</v>
      </c>
      <c r="AA18" s="6">
        <f t="shared" si="13"/>
        <v>0.17026292377505262</v>
      </c>
      <c r="AB18" s="6">
        <f t="shared" si="14"/>
        <v>0.16077953422494343</v>
      </c>
      <c r="AC18" s="6">
        <f t="shared" si="15"/>
        <v>0.17171336711122781</v>
      </c>
      <c r="AE18" s="1">
        <f t="shared" si="38"/>
        <v>176566.62612566553</v>
      </c>
      <c r="AF18" s="1">
        <f t="shared" si="17"/>
        <v>39727.490878274744</v>
      </c>
      <c r="AG18" s="1">
        <f t="shared" si="18"/>
        <v>28603.793432357812</v>
      </c>
      <c r="AH18" s="1">
        <f t="shared" si="29"/>
        <v>282169.09262287384</v>
      </c>
      <c r="AI18" s="1">
        <f t="shared" si="30"/>
        <v>30732.272681231701</v>
      </c>
      <c r="AJ18" s="1">
        <f t="shared" si="19"/>
        <v>6578.7877518400119</v>
      </c>
      <c r="AK18" s="1">
        <f t="shared" si="20"/>
        <v>42930.551588151851</v>
      </c>
      <c r="AL18" s="1">
        <f t="shared" si="31"/>
        <v>4675.7545466757283</v>
      </c>
      <c r="AM18" s="1">
        <f t="shared" si="21"/>
        <v>13972.514853636225</v>
      </c>
      <c r="AN18" s="1">
        <f t="shared" si="22"/>
        <v>129930.13471501571</v>
      </c>
      <c r="AO18" s="1">
        <f t="shared" si="32"/>
        <v>14151.260481628449</v>
      </c>
      <c r="AP18" s="1">
        <f t="shared" si="0"/>
        <v>78163.081141893694</v>
      </c>
      <c r="BA18">
        <v>2</v>
      </c>
      <c r="BB18">
        <v>0.75</v>
      </c>
    </row>
    <row r="19" spans="1:54" x14ac:dyDescent="0.25">
      <c r="A19">
        <f t="shared" si="23"/>
        <v>51</v>
      </c>
      <c r="B19">
        <f t="shared" si="23"/>
        <v>16</v>
      </c>
      <c r="C19">
        <f t="shared" si="1"/>
        <v>2</v>
      </c>
      <c r="D19" s="1">
        <f t="shared" si="24"/>
        <v>293422.81192636065</v>
      </c>
      <c r="E19" s="1">
        <f t="shared" si="25"/>
        <v>430506.62999156321</v>
      </c>
      <c r="F19" s="1">
        <f t="shared" si="25"/>
        <v>190104.30527617098</v>
      </c>
      <c r="G19" s="1">
        <f t="shared" si="2"/>
        <v>190104.30527617098</v>
      </c>
      <c r="H19" s="1">
        <f t="shared" si="34"/>
        <v>266029.09096541611</v>
      </c>
      <c r="I19" s="1">
        <f t="shared" si="35"/>
        <v>106411.63638616644</v>
      </c>
      <c r="J19" s="1">
        <f t="shared" si="36"/>
        <v>76616.378198039834</v>
      </c>
      <c r="K19" s="1">
        <f t="shared" si="33"/>
        <v>180980.79177880718</v>
      </c>
      <c r="L19" s="1">
        <f t="shared" si="4"/>
        <v>72392.316711522872</v>
      </c>
      <c r="M19" s="1">
        <f t="shared" si="37"/>
        <v>52122.468032296463</v>
      </c>
      <c r="N19" s="28">
        <f t="shared" si="5"/>
        <v>0</v>
      </c>
      <c r="O19" s="1">
        <f t="shared" si="6"/>
        <v>44013.421788954103</v>
      </c>
      <c r="P19" s="1">
        <f t="shared" si="7"/>
        <v>760515.83801698918</v>
      </c>
      <c r="Q19" s="1">
        <f t="shared" si="26"/>
        <v>77593.548863458389</v>
      </c>
      <c r="R19" s="1"/>
      <c r="S19" s="1">
        <f t="shared" si="8"/>
        <v>7232.2954655132771</v>
      </c>
      <c r="T19" s="1">
        <f t="shared" si="9"/>
        <v>60045.015789668782</v>
      </c>
      <c r="U19" s="1">
        <f t="shared" si="27"/>
        <v>6126.244364392468</v>
      </c>
      <c r="V19" s="1">
        <f t="shared" si="10"/>
        <v>14671.140596318033</v>
      </c>
      <c r="W19" s="1">
        <f t="shared" si="11"/>
        <v>253505.27933899636</v>
      </c>
      <c r="X19" s="1">
        <f t="shared" si="28"/>
        <v>25864.516287819461</v>
      </c>
      <c r="Y19" s="1">
        <f t="shared" si="12"/>
        <v>84113.228684508387</v>
      </c>
      <c r="AA19" s="6">
        <f t="shared" si="13"/>
        <v>0.18478500981548845</v>
      </c>
      <c r="AB19" s="6">
        <f t="shared" si="14"/>
        <v>0.17046218427938523</v>
      </c>
      <c r="AC19" s="6">
        <f t="shared" si="15"/>
        <v>0.18518814419824017</v>
      </c>
      <c r="AE19" s="1">
        <f t="shared" si="38"/>
        <v>180980.79177880718</v>
      </c>
      <c r="AF19" s="1">
        <f t="shared" si="17"/>
        <v>45245.197944701795</v>
      </c>
      <c r="AG19" s="1">
        <f t="shared" si="18"/>
        <v>32576.542520185289</v>
      </c>
      <c r="AH19" s="1">
        <f t="shared" si="29"/>
        <v>301215.50637491781</v>
      </c>
      <c r="AI19" s="1">
        <f t="shared" si="30"/>
        <v>30732.272681231701</v>
      </c>
      <c r="AJ19" s="1">
        <f t="shared" si="19"/>
        <v>7232.2954655132771</v>
      </c>
      <c r="AK19" s="1">
        <f t="shared" si="20"/>
        <v>52608.282584844477</v>
      </c>
      <c r="AL19" s="1">
        <f t="shared" si="31"/>
        <v>5367.4928795875612</v>
      </c>
      <c r="AM19" s="1">
        <f t="shared" si="21"/>
        <v>14671.140596318033</v>
      </c>
      <c r="AN19" s="1">
        <f t="shared" si="22"/>
        <v>153100.11054735706</v>
      </c>
      <c r="AO19" s="1">
        <f t="shared" si="32"/>
        <v>15620.425394075557</v>
      </c>
      <c r="AP19" s="1">
        <f t="shared" si="0"/>
        <v>84296.733475080109</v>
      </c>
      <c r="BA19">
        <v>2</v>
      </c>
      <c r="BB19">
        <v>0.7</v>
      </c>
    </row>
    <row r="20" spans="1:54" x14ac:dyDescent="0.25">
      <c r="A20">
        <f t="shared" si="23"/>
        <v>52</v>
      </c>
      <c r="B20">
        <f t="shared" si="23"/>
        <v>17</v>
      </c>
      <c r="C20">
        <f t="shared" si="1"/>
        <v>2</v>
      </c>
      <c r="D20" s="1">
        <f t="shared" si="24"/>
        <v>308093.95252267865</v>
      </c>
      <c r="E20" s="1">
        <f t="shared" si="25"/>
        <v>441269.29574135225</v>
      </c>
      <c r="F20" s="1">
        <f t="shared" si="25"/>
        <v>194856.91290807523</v>
      </c>
      <c r="G20" s="1">
        <f t="shared" si="2"/>
        <v>194856.91290807523</v>
      </c>
      <c r="H20" s="1">
        <f t="shared" si="34"/>
        <v>279587.67352704192</v>
      </c>
      <c r="I20" s="1">
        <f t="shared" si="35"/>
        <v>118824.76124899281</v>
      </c>
      <c r="J20" s="1">
        <f t="shared" si="36"/>
        <v>85553.828099274804</v>
      </c>
      <c r="K20" s="1">
        <f t="shared" si="33"/>
        <v>185505.31157327729</v>
      </c>
      <c r="L20" s="1">
        <f t="shared" si="4"/>
        <v>78839.757418642839</v>
      </c>
      <c r="M20" s="1">
        <f t="shared" si="37"/>
        <v>56764.625341422841</v>
      </c>
      <c r="N20" s="28">
        <f t="shared" si="5"/>
        <v>0</v>
      </c>
      <c r="O20" s="1">
        <f t="shared" si="6"/>
        <v>46214.092878401803</v>
      </c>
      <c r="P20" s="1">
        <f t="shared" si="7"/>
        <v>857209.68606123095</v>
      </c>
      <c r="Q20" s="1">
        <f t="shared" si="26"/>
        <v>81928.78958871217</v>
      </c>
      <c r="R20" s="1"/>
      <c r="S20" s="1">
        <f t="shared" si="8"/>
        <v>7926.5927730222402</v>
      </c>
      <c r="T20" s="1">
        <f t="shared" si="9"/>
        <v>71551.460299943836</v>
      </c>
      <c r="U20" s="1">
        <f t="shared" si="27"/>
        <v>6838.6121050672027</v>
      </c>
      <c r="V20" s="1">
        <f t="shared" si="10"/>
        <v>15404.697626133933</v>
      </c>
      <c r="W20" s="1">
        <f t="shared" si="11"/>
        <v>285736.56202041026</v>
      </c>
      <c r="X20" s="1">
        <f t="shared" si="28"/>
        <v>27309.596529570717</v>
      </c>
      <c r="Y20" s="1">
        <f t="shared" si="12"/>
        <v>90912.833976060763</v>
      </c>
      <c r="AA20" s="6">
        <f t="shared" si="13"/>
        <v>0.19972279249475877</v>
      </c>
      <c r="AB20" s="6">
        <f t="shared" si="14"/>
        <v>0.17998610236572146</v>
      </c>
      <c r="AC20" s="6">
        <f t="shared" si="15"/>
        <v>0.19905243520025145</v>
      </c>
      <c r="AE20" s="1">
        <f t="shared" si="38"/>
        <v>185505.31157327729</v>
      </c>
      <c r="AF20" s="1">
        <f t="shared" si="17"/>
        <v>51013.960682651254</v>
      </c>
      <c r="AG20" s="1">
        <f t="shared" si="18"/>
        <v>36730.051691508896</v>
      </c>
      <c r="AH20" s="1">
        <f t="shared" si="29"/>
        <v>321547.55305522471</v>
      </c>
      <c r="AI20" s="1">
        <f t="shared" si="30"/>
        <v>30732.272681231701</v>
      </c>
      <c r="AJ20" s="1">
        <f t="shared" si="19"/>
        <v>7926.5927730222402</v>
      </c>
      <c r="AK20" s="1">
        <f t="shared" si="20"/>
        <v>63612.747603793883</v>
      </c>
      <c r="AL20" s="1">
        <f t="shared" si="31"/>
        <v>6079.8606202622959</v>
      </c>
      <c r="AM20" s="1">
        <f t="shared" si="21"/>
        <v>15404.697626133933</v>
      </c>
      <c r="AN20" s="1">
        <f t="shared" si="22"/>
        <v>178554.04433533532</v>
      </c>
      <c r="AO20" s="1">
        <f t="shared" si="32"/>
        <v>17065.505635826816</v>
      </c>
      <c r="AP20" s="1">
        <f t="shared" si="0"/>
        <v>90607.690628829703</v>
      </c>
      <c r="BA20">
        <v>2</v>
      </c>
      <c r="BB20">
        <v>0.65</v>
      </c>
    </row>
    <row r="21" spans="1:54" x14ac:dyDescent="0.25">
      <c r="A21">
        <f t="shared" ref="A21:B36" si="39">A20+1</f>
        <v>53</v>
      </c>
      <c r="B21">
        <f t="shared" si="39"/>
        <v>18</v>
      </c>
      <c r="C21">
        <f t="shared" si="1"/>
        <v>2</v>
      </c>
      <c r="D21" s="1">
        <f t="shared" si="24"/>
        <v>323498.65014881251</v>
      </c>
      <c r="E21" s="1">
        <f t="shared" ref="E21:F36" si="40">E20*(1+$D$53)</f>
        <v>452301.028134886</v>
      </c>
      <c r="F21" s="1">
        <f t="shared" si="40"/>
        <v>199728.33573077709</v>
      </c>
      <c r="G21" s="1">
        <f t="shared" si="2"/>
        <v>199728.33573077709</v>
      </c>
      <c r="H21" s="1">
        <f t="shared" si="34"/>
        <v>293655.68717392127</v>
      </c>
      <c r="I21" s="1">
        <f t="shared" si="35"/>
        <v>132145.05922826458</v>
      </c>
      <c r="J21" s="1">
        <f t="shared" si="36"/>
        <v>95144.442644350478</v>
      </c>
      <c r="K21" s="1">
        <f t="shared" si="33"/>
        <v>190142.94436260921</v>
      </c>
      <c r="L21" s="1">
        <f t="shared" si="4"/>
        <v>85564.324963174149</v>
      </c>
      <c r="M21" s="1">
        <f t="shared" si="37"/>
        <v>61606.313973485376</v>
      </c>
      <c r="N21" s="28">
        <f t="shared" si="5"/>
        <v>0</v>
      </c>
      <c r="O21" s="1">
        <f t="shared" si="6"/>
        <v>48524.797522321882</v>
      </c>
      <c r="P21" s="1">
        <f t="shared" si="7"/>
        <v>962698.32029736368</v>
      </c>
      <c r="Q21" s="1">
        <f t="shared" si="26"/>
        <v>86192.9607938798</v>
      </c>
      <c r="R21" s="1"/>
      <c r="S21" s="1">
        <f t="shared" si="8"/>
        <v>8663.9220092624801</v>
      </c>
      <c r="T21" s="1">
        <f t="shared" si="9"/>
        <v>84550.113634685375</v>
      </c>
      <c r="U21" s="1">
        <f t="shared" si="27"/>
        <v>7569.9982808544592</v>
      </c>
      <c r="V21" s="1">
        <f t="shared" si="10"/>
        <v>16174.932507440626</v>
      </c>
      <c r="W21" s="1">
        <f t="shared" si="11"/>
        <v>320899.44009912119</v>
      </c>
      <c r="X21" s="1">
        <f t="shared" si="28"/>
        <v>28730.986931293261</v>
      </c>
      <c r="Y21" s="1">
        <f t="shared" si="12"/>
        <v>97907.299185633092</v>
      </c>
      <c r="AA21" s="6">
        <f t="shared" si="13"/>
        <v>0.21508865518507014</v>
      </c>
      <c r="AB21" s="6">
        <f t="shared" si="14"/>
        <v>0.18935389064736363</v>
      </c>
      <c r="AC21" s="6">
        <f t="shared" si="15"/>
        <v>0.21331796892137231</v>
      </c>
      <c r="AE21" s="1">
        <f t="shared" si="38"/>
        <v>190142.94436260921</v>
      </c>
      <c r="AF21" s="1">
        <f t="shared" si="17"/>
        <v>57042.883308782766</v>
      </c>
      <c r="AG21" s="1">
        <f t="shared" si="18"/>
        <v>41070.875982323589</v>
      </c>
      <c r="AH21" s="1">
        <f t="shared" si="29"/>
        <v>343252.01288645231</v>
      </c>
      <c r="AI21" s="1">
        <f t="shared" si="30"/>
        <v>30732.272681231691</v>
      </c>
      <c r="AJ21" s="1">
        <f t="shared" si="19"/>
        <v>8663.9220092624801</v>
      </c>
      <c r="AK21" s="1">
        <f t="shared" si="20"/>
        <v>76075.537831545298</v>
      </c>
      <c r="AL21" s="1">
        <f t="shared" si="31"/>
        <v>6811.2467960495524</v>
      </c>
      <c r="AM21" s="1">
        <f t="shared" si="21"/>
        <v>16174.932507440626</v>
      </c>
      <c r="AN21" s="1">
        <f t="shared" si="22"/>
        <v>206482.10247030371</v>
      </c>
      <c r="AO21" s="1">
        <f t="shared" si="32"/>
        <v>18486.896037549363</v>
      </c>
      <c r="AP21" s="1">
        <f t="shared" si="0"/>
        <v>97101.29149715419</v>
      </c>
      <c r="BA21">
        <v>2</v>
      </c>
      <c r="BB21">
        <v>0.6</v>
      </c>
    </row>
    <row r="22" spans="1:54" x14ac:dyDescent="0.25">
      <c r="A22">
        <f t="shared" si="39"/>
        <v>54</v>
      </c>
      <c r="B22">
        <f t="shared" si="39"/>
        <v>19</v>
      </c>
      <c r="C22">
        <f t="shared" si="1"/>
        <v>2</v>
      </c>
      <c r="D22" s="1">
        <f t="shared" si="24"/>
        <v>339673.58265625307</v>
      </c>
      <c r="E22" s="1">
        <f t="shared" si="40"/>
        <v>463608.55383825809</v>
      </c>
      <c r="F22" s="1">
        <f t="shared" si="40"/>
        <v>204721.54412404652</v>
      </c>
      <c r="G22" s="1">
        <f t="shared" si="2"/>
        <v>204721.54412404652</v>
      </c>
      <c r="H22" s="1">
        <f t="shared" si="34"/>
        <v>308338.47153261723</v>
      </c>
      <c r="I22" s="1">
        <f t="shared" si="35"/>
        <v>146460.7739779932</v>
      </c>
      <c r="J22" s="1">
        <f t="shared" si="36"/>
        <v>105451.75726415509</v>
      </c>
      <c r="K22" s="1">
        <f t="shared" si="33"/>
        <v>194896.51797167445</v>
      </c>
      <c r="L22" s="1">
        <f t="shared" si="4"/>
        <v>92575.846036545365</v>
      </c>
      <c r="M22" s="1">
        <f t="shared" si="37"/>
        <v>66654.60914631265</v>
      </c>
      <c r="N22" s="28">
        <f t="shared" si="5"/>
        <v>0</v>
      </c>
      <c r="O22" s="1">
        <f t="shared" si="6"/>
        <v>50951.037398437969</v>
      </c>
      <c r="P22" s="1">
        <f t="shared" si="7"/>
        <v>1077688.7863657854</v>
      </c>
      <c r="Q22" s="1">
        <f t="shared" si="26"/>
        <v>90387.227553061108</v>
      </c>
      <c r="R22" s="1"/>
      <c r="S22" s="1">
        <f t="shared" si="8"/>
        <v>9446.6426972544596</v>
      </c>
      <c r="T22" s="1">
        <f t="shared" si="9"/>
        <v>99186.047418615999</v>
      </c>
      <c r="U22" s="1">
        <f t="shared" si="27"/>
        <v>8318.869001456078</v>
      </c>
      <c r="V22" s="1">
        <f t="shared" si="10"/>
        <v>16983.679132812653</v>
      </c>
      <c r="W22" s="1">
        <f t="shared" si="11"/>
        <v>359229.59545526176</v>
      </c>
      <c r="X22" s="1">
        <f t="shared" si="28"/>
        <v>30129.07585102036</v>
      </c>
      <c r="Y22" s="1">
        <f t="shared" si="12"/>
        <v>105102.5539987891</v>
      </c>
      <c r="AA22" s="6">
        <f t="shared" si="13"/>
        <v>0.23089562457701845</v>
      </c>
      <c r="AB22" s="6">
        <f t="shared" si="14"/>
        <v>0.19856810862930679</v>
      </c>
      <c r="AC22" s="6">
        <f t="shared" si="15"/>
        <v>0.22799710111990035</v>
      </c>
      <c r="AE22" s="1">
        <f t="shared" si="38"/>
        <v>194896.51797167445</v>
      </c>
      <c r="AF22" s="1">
        <f t="shared" si="17"/>
        <v>63341.368340794194</v>
      </c>
      <c r="AG22" s="1">
        <f t="shared" si="18"/>
        <v>45605.785205371816</v>
      </c>
      <c r="AH22" s="1">
        <f t="shared" si="29"/>
        <v>366421.52375628782</v>
      </c>
      <c r="AI22" s="1">
        <f t="shared" si="30"/>
        <v>30732.272681231701</v>
      </c>
      <c r="AJ22" s="1">
        <f t="shared" si="19"/>
        <v>9446.6426972544596</v>
      </c>
      <c r="AK22" s="1">
        <f t="shared" si="20"/>
        <v>90139.437748763972</v>
      </c>
      <c r="AL22" s="1">
        <f t="shared" si="31"/>
        <v>7560.1175166511703</v>
      </c>
      <c r="AM22" s="1">
        <f t="shared" si="21"/>
        <v>16983.679132812653</v>
      </c>
      <c r="AN22" s="1">
        <f t="shared" si="22"/>
        <v>237089.08753649911</v>
      </c>
      <c r="AO22" s="1">
        <f t="shared" si="32"/>
        <v>19884.984957276458</v>
      </c>
      <c r="AP22" s="1">
        <f t="shared" si="0"/>
        <v>103783.16036053115</v>
      </c>
      <c r="BA22">
        <v>2</v>
      </c>
      <c r="BB22">
        <v>0.55000000000000004</v>
      </c>
    </row>
    <row r="23" spans="1:54" x14ac:dyDescent="0.25">
      <c r="A23">
        <f t="shared" si="39"/>
        <v>55</v>
      </c>
      <c r="B23">
        <f t="shared" si="39"/>
        <v>20</v>
      </c>
      <c r="C23">
        <f t="shared" si="1"/>
        <v>2</v>
      </c>
      <c r="D23" s="1">
        <f t="shared" si="24"/>
        <v>356657.26178906567</v>
      </c>
      <c r="E23" s="1">
        <f t="shared" si="40"/>
        <v>475198.76768421452</v>
      </c>
      <c r="F23" s="1">
        <f t="shared" si="40"/>
        <v>209839.58272714767</v>
      </c>
      <c r="G23" s="1">
        <f t="shared" si="2"/>
        <v>209839.58272714767</v>
      </c>
      <c r="H23" s="1">
        <f t="shared" si="34"/>
        <v>323755.39510924811</v>
      </c>
      <c r="I23" s="1">
        <f t="shared" si="35"/>
        <v>161877.69755462406</v>
      </c>
      <c r="J23" s="1">
        <f t="shared" si="36"/>
        <v>116551.94223932931</v>
      </c>
      <c r="K23" s="1">
        <f t="shared" si="33"/>
        <v>199768.93092096626</v>
      </c>
      <c r="L23" s="1">
        <f t="shared" si="4"/>
        <v>99884.46546048313</v>
      </c>
      <c r="M23" s="1">
        <f t="shared" si="37"/>
        <v>71916.815131547846</v>
      </c>
      <c r="N23" s="28">
        <f t="shared" si="5"/>
        <v>1.0999999999999999E-2</v>
      </c>
      <c r="O23" s="1">
        <f t="shared" si="6"/>
        <v>53498.589268359858</v>
      </c>
      <c r="P23" s="1">
        <f t="shared" si="7"/>
        <v>1202941.5253662432</v>
      </c>
      <c r="Q23" s="1">
        <f t="shared" si="26"/>
        <v>94512.735840780413</v>
      </c>
      <c r="R23" s="1"/>
      <c r="S23" s="1">
        <f t="shared" si="8"/>
        <v>10277.237534334261</v>
      </c>
      <c r="T23" s="1">
        <f t="shared" si="9"/>
        <v>115616.55727103242</v>
      </c>
      <c r="U23" s="1">
        <f t="shared" si="27"/>
        <v>9083.7641778561756</v>
      </c>
      <c r="V23" s="1">
        <f t="shared" si="10"/>
        <v>17832.863089453283</v>
      </c>
      <c r="W23" s="1">
        <f t="shared" si="11"/>
        <v>400980.50845541427</v>
      </c>
      <c r="X23" s="1">
        <f t="shared" si="28"/>
        <v>31504.245280260122</v>
      </c>
      <c r="Y23" s="1">
        <f t="shared" si="12"/>
        <v>112504.82458966415</v>
      </c>
      <c r="AA23" s="6">
        <f t="shared" si="13"/>
        <v>0.24715737870516152</v>
      </c>
      <c r="AB23" s="6">
        <f t="shared" si="14"/>
        <v>0.20763127385744756</v>
      </c>
      <c r="AC23" s="6">
        <f t="shared" si="15"/>
        <v>0.24310282212478765</v>
      </c>
      <c r="AE23" s="1">
        <f t="shared" si="38"/>
        <v>199768.93092096626</v>
      </c>
      <c r="AF23" s="1">
        <f t="shared" si="17"/>
        <v>69919.125822338188</v>
      </c>
      <c r="AG23" s="1">
        <f t="shared" si="18"/>
        <v>50341.770592083492</v>
      </c>
      <c r="AH23" s="1">
        <f t="shared" si="29"/>
        <v>391154.97660983721</v>
      </c>
      <c r="AI23" s="1">
        <f t="shared" si="30"/>
        <v>30732.272681231701</v>
      </c>
      <c r="AJ23" s="1">
        <f t="shared" si="19"/>
        <v>10277.237534334261</v>
      </c>
      <c r="AK23" s="1">
        <f t="shared" si="20"/>
        <v>105959.30144846538</v>
      </c>
      <c r="AL23" s="1">
        <f t="shared" si="31"/>
        <v>8325.012693051267</v>
      </c>
      <c r="AM23" s="1">
        <f t="shared" si="21"/>
        <v>17832.863089453283</v>
      </c>
      <c r="AN23" s="1">
        <f t="shared" si="22"/>
        <v>270595.51625213516</v>
      </c>
      <c r="AO23" s="1">
        <f t="shared" si="32"/>
        <v>21260.15438651622</v>
      </c>
      <c r="AP23" s="1">
        <f t="shared" si="0"/>
        <v>110659.21035288268</v>
      </c>
      <c r="BA23">
        <v>2</v>
      </c>
      <c r="BB23">
        <v>0.5</v>
      </c>
    </row>
    <row r="24" spans="1:54" x14ac:dyDescent="0.25">
      <c r="A24">
        <f t="shared" si="39"/>
        <v>56</v>
      </c>
      <c r="B24">
        <f t="shared" si="39"/>
        <v>21</v>
      </c>
      <c r="C24">
        <f t="shared" si="1"/>
        <v>2</v>
      </c>
      <c r="D24" s="1">
        <f t="shared" si="24"/>
        <v>374490.12487851887</v>
      </c>
      <c r="E24" s="1">
        <f t="shared" si="40"/>
        <v>487078.73687631986</v>
      </c>
      <c r="F24" s="1">
        <f t="shared" si="40"/>
        <v>215085.57229532636</v>
      </c>
      <c r="G24" s="1">
        <f t="shared" si="2"/>
        <v>215085.57229532636</v>
      </c>
      <c r="H24" s="1">
        <f t="shared" si="34"/>
        <v>339943.16486471042</v>
      </c>
      <c r="I24" s="1">
        <f t="shared" si="35"/>
        <v>178470.16155397298</v>
      </c>
      <c r="J24" s="1">
        <f t="shared" si="36"/>
        <v>128498.51631886052</v>
      </c>
      <c r="K24" s="1">
        <f t="shared" si="33"/>
        <v>204763.1541939904</v>
      </c>
      <c r="L24" s="1">
        <f t="shared" si="4"/>
        <v>107500.65595184496</v>
      </c>
      <c r="M24" s="1">
        <f t="shared" si="37"/>
        <v>77400.47228532836</v>
      </c>
      <c r="N24" s="28">
        <f t="shared" si="5"/>
        <v>1.24E-2</v>
      </c>
      <c r="O24" s="1">
        <f t="shared" si="6"/>
        <v>56173.51873177784</v>
      </c>
      <c r="P24" s="1">
        <f t="shared" si="7"/>
        <v>1339274.26154527</v>
      </c>
      <c r="Q24" s="1">
        <f t="shared" si="26"/>
        <v>98570.612845094452</v>
      </c>
      <c r="R24" s="1"/>
      <c r="S24" s="1">
        <f t="shared" si="8"/>
        <v>11158.318680823477</v>
      </c>
      <c r="T24" s="1">
        <f t="shared" si="9"/>
        <v>134012.11486552074</v>
      </c>
      <c r="U24" s="1">
        <f t="shared" si="27"/>
        <v>9863.2943753582767</v>
      </c>
      <c r="V24" s="1">
        <f t="shared" si="10"/>
        <v>18724.506243925945</v>
      </c>
      <c r="W24" s="1">
        <f t="shared" si="11"/>
        <v>446424.75384842319</v>
      </c>
      <c r="X24" s="1">
        <f t="shared" si="28"/>
        <v>32856.870948364805</v>
      </c>
      <c r="Y24" s="1">
        <f t="shared" si="12"/>
        <v>120120.63760905145</v>
      </c>
      <c r="AA24" s="6">
        <f t="shared" si="13"/>
        <v>0.26388825570928726</v>
      </c>
      <c r="AB24" s="6">
        <f t="shared" si="14"/>
        <v>0.21654586260643843</v>
      </c>
      <c r="AC24" s="6">
        <f t="shared" si="15"/>
        <v>0.25864876517757612</v>
      </c>
      <c r="AE24" s="1">
        <f t="shared" si="38"/>
        <v>204763.1541939904</v>
      </c>
      <c r="AF24" s="1">
        <f t="shared" si="17"/>
        <v>76786.182822746399</v>
      </c>
      <c r="AG24" s="1">
        <f t="shared" si="18"/>
        <v>55286.051632377406</v>
      </c>
      <c r="AH24" s="1">
        <f t="shared" si="29"/>
        <v>417557.93753100117</v>
      </c>
      <c r="AI24" s="1">
        <f t="shared" si="30"/>
        <v>30732.272681231691</v>
      </c>
      <c r="AJ24" s="1">
        <f t="shared" si="19"/>
        <v>11158.318680823477</v>
      </c>
      <c r="AK24" s="1">
        <f t="shared" si="20"/>
        <v>123702.99427493042</v>
      </c>
      <c r="AL24" s="1">
        <f t="shared" si="31"/>
        <v>9104.5428905533699</v>
      </c>
      <c r="AM24" s="1">
        <f t="shared" si="21"/>
        <v>18724.506243925945</v>
      </c>
      <c r="AN24" s="1">
        <f t="shared" si="22"/>
        <v>307238.77467142278</v>
      </c>
      <c r="AO24" s="1">
        <f t="shared" si="32"/>
        <v>22612.780054620911</v>
      </c>
      <c r="AP24" s="1">
        <f t="shared" si="0"/>
        <v>117735.64725878337</v>
      </c>
      <c r="BA24">
        <v>2</v>
      </c>
      <c r="BB24">
        <f t="shared" ref="BB24:BB50" si="41">BB23</f>
        <v>0.5</v>
      </c>
    </row>
    <row r="25" spans="1:54" x14ac:dyDescent="0.25">
      <c r="A25">
        <f t="shared" si="39"/>
        <v>57</v>
      </c>
      <c r="B25">
        <f t="shared" si="39"/>
        <v>22</v>
      </c>
      <c r="C25">
        <f t="shared" si="1"/>
        <v>2</v>
      </c>
      <c r="D25" s="1">
        <f t="shared" si="24"/>
        <v>393214.63112244476</v>
      </c>
      <c r="E25" s="1">
        <f t="shared" si="40"/>
        <v>499255.70529822784</v>
      </c>
      <c r="F25" s="1">
        <f t="shared" si="40"/>
        <v>220462.71160270949</v>
      </c>
      <c r="G25" s="1">
        <f t="shared" si="2"/>
        <v>220462.71160270949</v>
      </c>
      <c r="H25" s="1">
        <f t="shared" si="34"/>
        <v>356940.32310794585</v>
      </c>
      <c r="I25" s="1">
        <f t="shared" si="35"/>
        <v>196317.17770937024</v>
      </c>
      <c r="J25" s="1">
        <f t="shared" si="36"/>
        <v>141348.36795074656</v>
      </c>
      <c r="K25" s="1">
        <f t="shared" si="33"/>
        <v>209882.23304884019</v>
      </c>
      <c r="L25" s="1">
        <f t="shared" si="4"/>
        <v>115435.22817686212</v>
      </c>
      <c r="M25" s="1">
        <f t="shared" si="37"/>
        <v>83113.364287340708</v>
      </c>
      <c r="N25" s="28">
        <f t="shared" si="5"/>
        <v>1.38E-2</v>
      </c>
      <c r="O25" s="1">
        <f t="shared" si="6"/>
        <v>58982.194668366719</v>
      </c>
      <c r="P25" s="1">
        <f t="shared" si="7"/>
        <v>1487566.1665772216</v>
      </c>
      <c r="Q25" s="1">
        <f t="shared" si="26"/>
        <v>102561.96727556731</v>
      </c>
      <c r="R25" s="1"/>
      <c r="S25" s="1">
        <f t="shared" si="8"/>
        <v>12092.63436638147</v>
      </c>
      <c r="T25" s="1">
        <f t="shared" si="9"/>
        <v>154557.39073463372</v>
      </c>
      <c r="U25" s="1">
        <f t="shared" si="27"/>
        <v>10656.137795333279</v>
      </c>
      <c r="V25" s="1">
        <f t="shared" si="10"/>
        <v>19660.731556122239</v>
      </c>
      <c r="W25" s="1">
        <f t="shared" si="11"/>
        <v>495855.38885907369</v>
      </c>
      <c r="X25" s="1">
        <f t="shared" si="28"/>
        <v>34187.322425189086</v>
      </c>
      <c r="Y25" s="1">
        <f t="shared" si="12"/>
        <v>127956.82450786309</v>
      </c>
      <c r="AA25" s="6">
        <f t="shared" si="13"/>
        <v>0.28110326333245317</v>
      </c>
      <c r="AB25" s="6">
        <f t="shared" si="14"/>
        <v>0.22531431055626561</v>
      </c>
      <c r="AC25" s="6">
        <f t="shared" si="15"/>
        <v>0.27464921550062138</v>
      </c>
      <c r="AE25" s="1">
        <f t="shared" si="38"/>
        <v>209882.23304884019</v>
      </c>
      <c r="AF25" s="1">
        <f t="shared" si="17"/>
        <v>83952.893219536083</v>
      </c>
      <c r="AG25" s="1">
        <f t="shared" si="18"/>
        <v>60446.083118065973</v>
      </c>
      <c r="AH25" s="1">
        <f t="shared" si="29"/>
        <v>445743.09831434372</v>
      </c>
      <c r="AI25" s="1">
        <f t="shared" si="30"/>
        <v>30732.272681231691</v>
      </c>
      <c r="AJ25" s="1">
        <f t="shared" si="19"/>
        <v>12092.63436638147</v>
      </c>
      <c r="AK25" s="1">
        <f t="shared" si="20"/>
        <v>143552.40450417856</v>
      </c>
      <c r="AL25" s="1">
        <f t="shared" si="31"/>
        <v>9897.3863105283708</v>
      </c>
      <c r="AM25" s="1">
        <f t="shared" si="21"/>
        <v>19660.731556122239</v>
      </c>
      <c r="AN25" s="1">
        <f t="shared" si="22"/>
        <v>347274.35608762573</v>
      </c>
      <c r="AO25" s="1">
        <f t="shared" si="32"/>
        <v>23943.231531445188</v>
      </c>
      <c r="AP25" s="1">
        <f t="shared" si="0"/>
        <v>125018.97364127121</v>
      </c>
      <c r="BA25">
        <v>2</v>
      </c>
      <c r="BB25">
        <f t="shared" si="41"/>
        <v>0.5</v>
      </c>
    </row>
    <row r="26" spans="1:54" x14ac:dyDescent="0.25">
      <c r="A26">
        <f t="shared" si="39"/>
        <v>58</v>
      </c>
      <c r="B26">
        <f t="shared" si="39"/>
        <v>23</v>
      </c>
      <c r="C26">
        <f t="shared" si="1"/>
        <v>2</v>
      </c>
      <c r="D26" s="1">
        <f t="shared" si="24"/>
        <v>412875.36267856695</v>
      </c>
      <c r="E26" s="1">
        <f t="shared" si="40"/>
        <v>511737.09793068346</v>
      </c>
      <c r="F26" s="1">
        <f t="shared" si="40"/>
        <v>225974.27939277721</v>
      </c>
      <c r="G26" s="1">
        <f t="shared" si="2"/>
        <v>225974.27939277721</v>
      </c>
      <c r="H26" s="1">
        <f t="shared" si="34"/>
        <v>374787.33926334308</v>
      </c>
      <c r="I26" s="1">
        <f t="shared" si="35"/>
        <v>215502.72007642227</v>
      </c>
      <c r="J26" s="1">
        <f t="shared" si="36"/>
        <v>155161.95845502403</v>
      </c>
      <c r="K26" s="1">
        <f t="shared" si="33"/>
        <v>215129.28887506115</v>
      </c>
      <c r="L26" s="1">
        <f t="shared" si="4"/>
        <v>123699.34110316017</v>
      </c>
      <c r="M26" s="1">
        <f t="shared" si="37"/>
        <v>89063.525594275299</v>
      </c>
      <c r="N26" s="28">
        <f t="shared" si="5"/>
        <v>1.5199999999999998E-2</v>
      </c>
      <c r="O26" s="1">
        <f t="shared" si="6"/>
        <v>61931.304401785048</v>
      </c>
      <c r="P26" s="1">
        <f t="shared" si="7"/>
        <v>1648762.3198177121</v>
      </c>
      <c r="Q26" s="1">
        <f t="shared" si="26"/>
        <v>106487.88966619634</v>
      </c>
      <c r="R26" s="1"/>
      <c r="S26" s="1">
        <f t="shared" si="8"/>
        <v>13083.075830005282</v>
      </c>
      <c r="T26" s="1">
        <f t="shared" si="9"/>
        <v>177452.35292220998</v>
      </c>
      <c r="U26" s="1">
        <f t="shared" si="27"/>
        <v>11461.037380497901</v>
      </c>
      <c r="V26" s="1">
        <f t="shared" si="10"/>
        <v>20643.768133928348</v>
      </c>
      <c r="W26" s="1">
        <f t="shared" si="11"/>
        <v>549587.43993923708</v>
      </c>
      <c r="X26" s="1">
        <f t="shared" si="28"/>
        <v>35495.963222065431</v>
      </c>
      <c r="Y26" s="1">
        <f t="shared" si="12"/>
        <v>136020.52619683865</v>
      </c>
      <c r="AA26" s="6">
        <f t="shared" si="13"/>
        <v>0.29881808915771541</v>
      </c>
      <c r="AB26" s="6">
        <f t="shared" si="14"/>
        <v>0.23393901345773491</v>
      </c>
      <c r="AC26" s="6">
        <f t="shared" si="15"/>
        <v>0.29111912009326008</v>
      </c>
      <c r="AE26" s="1">
        <f t="shared" si="38"/>
        <v>215129.28887506115</v>
      </c>
      <c r="AF26" s="1">
        <f t="shared" si="17"/>
        <v>91429.947771901003</v>
      </c>
      <c r="AG26" s="1">
        <f t="shared" si="18"/>
        <v>65829.562395768706</v>
      </c>
      <c r="AH26" s="1">
        <f t="shared" si="29"/>
        <v>475830.75745056185</v>
      </c>
      <c r="AI26" s="1">
        <f t="shared" si="30"/>
        <v>30732.272681231691</v>
      </c>
      <c r="AJ26" s="1">
        <f t="shared" si="19"/>
        <v>13083.075830005282</v>
      </c>
      <c r="AK26" s="1">
        <f t="shared" si="20"/>
        <v>165704.53012119909</v>
      </c>
      <c r="AL26" s="1">
        <f t="shared" si="31"/>
        <v>10702.285895692994</v>
      </c>
      <c r="AM26" s="1">
        <f t="shared" si="21"/>
        <v>20643.768133928348</v>
      </c>
      <c r="AN26" s="1">
        <f t="shared" si="22"/>
        <v>390977.18745571643</v>
      </c>
      <c r="AO26" s="1">
        <f t="shared" si="32"/>
        <v>25251.872328321529</v>
      </c>
      <c r="AP26" s="1">
        <f t="shared" si="0"/>
        <v>132515.99330101494</v>
      </c>
      <c r="BA26">
        <v>2</v>
      </c>
      <c r="BB26">
        <f t="shared" si="41"/>
        <v>0.5</v>
      </c>
    </row>
    <row r="27" spans="1:54" x14ac:dyDescent="0.25">
      <c r="A27">
        <f t="shared" si="39"/>
        <v>59</v>
      </c>
      <c r="B27">
        <f t="shared" si="39"/>
        <v>24</v>
      </c>
      <c r="C27">
        <f t="shared" si="1"/>
        <v>2</v>
      </c>
      <c r="D27" s="1">
        <f t="shared" si="24"/>
        <v>433519.13081249525</v>
      </c>
      <c r="E27" s="1">
        <f t="shared" si="40"/>
        <v>524530.52537895052</v>
      </c>
      <c r="F27" s="1">
        <f t="shared" si="40"/>
        <v>231623.63637759662</v>
      </c>
      <c r="G27" s="1">
        <f t="shared" si="2"/>
        <v>231623.63637759662</v>
      </c>
      <c r="H27" s="1">
        <f t="shared" si="34"/>
        <v>393526.70622651011</v>
      </c>
      <c r="I27" s="1">
        <f t="shared" si="35"/>
        <v>236116.02373590608</v>
      </c>
      <c r="J27" s="1">
        <f t="shared" si="36"/>
        <v>170003.53708985238</v>
      </c>
      <c r="K27" s="1">
        <f t="shared" si="33"/>
        <v>220507.52109693771</v>
      </c>
      <c r="L27" s="1">
        <f t="shared" si="4"/>
        <v>132304.51265816262</v>
      </c>
      <c r="M27" s="1">
        <f t="shared" si="37"/>
        <v>95259.249113877086</v>
      </c>
      <c r="N27" s="28">
        <f t="shared" si="5"/>
        <v>1.66E-2</v>
      </c>
      <c r="O27" s="1">
        <f t="shared" si="6"/>
        <v>65027.869621874299</v>
      </c>
      <c r="P27" s="1">
        <f t="shared" si="7"/>
        <v>1823878.485251762</v>
      </c>
      <c r="Q27" s="1">
        <f t="shared" si="26"/>
        <v>110349.45267337243</v>
      </c>
      <c r="R27" s="1"/>
      <c r="S27" s="1">
        <f t="shared" si="8"/>
        <v>14132.684610442906</v>
      </c>
      <c r="T27" s="1">
        <f t="shared" si="9"/>
        <v>202913.44694689848</v>
      </c>
      <c r="U27" s="1">
        <f t="shared" si="27"/>
        <v>12276.798038750268</v>
      </c>
      <c r="V27" s="1">
        <f t="shared" si="10"/>
        <v>21675.956540624764</v>
      </c>
      <c r="W27" s="1">
        <f t="shared" si="11"/>
        <v>607959.49508392042</v>
      </c>
      <c r="X27" s="1">
        <f t="shared" si="28"/>
        <v>36783.150891124125</v>
      </c>
      <c r="Y27" s="1">
        <f t="shared" si="12"/>
        <v>144319.19804375147</v>
      </c>
      <c r="AA27" s="6">
        <f t="shared" si="13"/>
        <v>0.31704911158629251</v>
      </c>
      <c r="AB27" s="6">
        <f t="shared" si="14"/>
        <v>0.242422327787049</v>
      </c>
      <c r="AC27" s="6">
        <f t="shared" si="15"/>
        <v>0.30807409825839793</v>
      </c>
      <c r="AE27" s="1">
        <f t="shared" si="38"/>
        <v>220507.52109693771</v>
      </c>
      <c r="AF27" s="1">
        <f t="shared" si="17"/>
        <v>99228.384493621968</v>
      </c>
      <c r="AG27" s="1">
        <f t="shared" si="18"/>
        <v>71444.436835407803</v>
      </c>
      <c r="AH27" s="1">
        <f t="shared" si="29"/>
        <v>507949.3335784747</v>
      </c>
      <c r="AI27" s="1">
        <f t="shared" si="30"/>
        <v>30732.272681231691</v>
      </c>
      <c r="AJ27" s="1">
        <f t="shared" si="19"/>
        <v>14132.684610442906</v>
      </c>
      <c r="AK27" s="1">
        <f t="shared" si="20"/>
        <v>190372.64610681939</v>
      </c>
      <c r="AL27" s="1">
        <f t="shared" si="31"/>
        <v>11518.046553945363</v>
      </c>
      <c r="AM27" s="1">
        <f t="shared" si="21"/>
        <v>21675.956540624764</v>
      </c>
      <c r="AN27" s="1">
        <f t="shared" si="22"/>
        <v>438643.05055776209</v>
      </c>
      <c r="AO27" s="1">
        <f t="shared" si="32"/>
        <v>26539.059997380231</v>
      </c>
      <c r="AP27" s="1">
        <f t="shared" si="0"/>
        <v>140233.81606796509</v>
      </c>
      <c r="BA27">
        <v>2</v>
      </c>
      <c r="BB27">
        <f t="shared" si="41"/>
        <v>0.5</v>
      </c>
    </row>
    <row r="28" spans="1:54" x14ac:dyDescent="0.25">
      <c r="A28">
        <f t="shared" si="39"/>
        <v>60</v>
      </c>
      <c r="B28">
        <f t="shared" si="39"/>
        <v>25</v>
      </c>
      <c r="C28">
        <f t="shared" si="1"/>
        <v>1.9</v>
      </c>
      <c r="D28" s="1">
        <f t="shared" si="24"/>
        <v>455195.08735311992</v>
      </c>
      <c r="E28" s="1">
        <f t="shared" si="40"/>
        <v>537643.78851342422</v>
      </c>
      <c r="F28" s="1">
        <f t="shared" si="40"/>
        <v>237414.22728703651</v>
      </c>
      <c r="G28" s="1">
        <f t="shared" si="2"/>
        <v>237414.22728703651</v>
      </c>
      <c r="H28" s="1">
        <f t="shared" si="34"/>
        <v>413203.04153783561</v>
      </c>
      <c r="I28" s="1">
        <f t="shared" si="35"/>
        <v>258251.9009611473</v>
      </c>
      <c r="J28" s="1">
        <f t="shared" si="36"/>
        <v>185941.36869202601</v>
      </c>
      <c r="K28" s="1">
        <f t="shared" si="33"/>
        <v>226020.20912436111</v>
      </c>
      <c r="L28" s="1">
        <f t="shared" si="4"/>
        <v>141262.6307027257</v>
      </c>
      <c r="M28" s="1">
        <f t="shared" si="37"/>
        <v>101709.09410596249</v>
      </c>
      <c r="N28" s="28">
        <f t="shared" si="5"/>
        <v>1.7999999999999999E-2</v>
      </c>
      <c r="O28" s="1">
        <f t="shared" si="6"/>
        <v>68279.263102967991</v>
      </c>
      <c r="P28" s="1">
        <f t="shared" si="7"/>
        <v>2014006.2272949279</v>
      </c>
      <c r="Q28" s="1">
        <f t="shared" si="26"/>
        <v>114147.71136895548</v>
      </c>
      <c r="R28" s="1"/>
      <c r="S28" s="1">
        <f t="shared" si="8"/>
        <v>15244.660204625839</v>
      </c>
      <c r="T28" s="1">
        <f t="shared" si="9"/>
        <v>231174.86292652192</v>
      </c>
      <c r="U28" s="1">
        <f t="shared" si="27"/>
        <v>13102.283980788428</v>
      </c>
      <c r="V28" s="1">
        <f t="shared" si="10"/>
        <v>22759.754367655998</v>
      </c>
      <c r="W28" s="1">
        <f t="shared" si="11"/>
        <v>671335.409098309</v>
      </c>
      <c r="X28" s="1">
        <f t="shared" si="28"/>
        <v>38049.237122985141</v>
      </c>
      <c r="Y28" s="1">
        <f t="shared" si="12"/>
        <v>152860.61520973605</v>
      </c>
      <c r="AA28" s="6">
        <f t="shared" si="13"/>
        <v>0.33581341156073075</v>
      </c>
      <c r="AB28" s="6">
        <f t="shared" si="14"/>
        <v>0.25076657138965303</v>
      </c>
      <c r="AC28" s="6">
        <f t="shared" si="15"/>
        <v>0.32553045286281107</v>
      </c>
      <c r="AE28" s="1">
        <f t="shared" si="38"/>
        <v>226020.20912436111</v>
      </c>
      <c r="AF28" s="1">
        <f t="shared" si="17"/>
        <v>107359.59933407154</v>
      </c>
      <c r="AG28" s="1">
        <f t="shared" si="18"/>
        <v>77298.911520531488</v>
      </c>
      <c r="AH28" s="1">
        <f t="shared" si="29"/>
        <v>542235.9135950217</v>
      </c>
      <c r="AI28" s="1">
        <f t="shared" si="30"/>
        <v>30732.272681231691</v>
      </c>
      <c r="AJ28" s="1">
        <f t="shared" si="19"/>
        <v>15244.660204625839</v>
      </c>
      <c r="AK28" s="1">
        <f t="shared" si="20"/>
        <v>217787.5580297375</v>
      </c>
      <c r="AL28" s="1">
        <f t="shared" si="31"/>
        <v>12343.532495983523</v>
      </c>
      <c r="AM28" s="1">
        <f t="shared" si="21"/>
        <v>22759.754367655998</v>
      </c>
      <c r="AN28" s="1">
        <f t="shared" si="22"/>
        <v>490590.1045666351</v>
      </c>
      <c r="AO28" s="1">
        <f t="shared" si="32"/>
        <v>27805.146229241247</v>
      </c>
      <c r="AP28" s="1">
        <f t="shared" si="0"/>
        <v>148179.86292698796</v>
      </c>
      <c r="BA28">
        <v>1.9</v>
      </c>
      <c r="BB28">
        <f t="shared" si="41"/>
        <v>0.5</v>
      </c>
    </row>
    <row r="29" spans="1:54" x14ac:dyDescent="0.25">
      <c r="A29">
        <f t="shared" si="39"/>
        <v>61</v>
      </c>
      <c r="B29">
        <f t="shared" si="39"/>
        <v>26</v>
      </c>
      <c r="C29">
        <f t="shared" si="1"/>
        <v>1.8</v>
      </c>
      <c r="D29" s="1">
        <f t="shared" si="24"/>
        <v>477499.64663342264</v>
      </c>
      <c r="E29" s="1">
        <f t="shared" si="40"/>
        <v>551084.88322625973</v>
      </c>
      <c r="F29" s="1">
        <f t="shared" si="40"/>
        <v>243349.58296921241</v>
      </c>
      <c r="G29" s="1">
        <f t="shared" si="2"/>
        <v>243349.58296921241</v>
      </c>
      <c r="H29" s="1">
        <f t="shared" si="34"/>
        <v>433863.19361472735</v>
      </c>
      <c r="I29" s="1">
        <f t="shared" si="35"/>
        <v>282011.07584957278</v>
      </c>
      <c r="J29" s="1">
        <f t="shared" si="36"/>
        <v>218840.59485926846</v>
      </c>
      <c r="K29" s="1">
        <f t="shared" si="33"/>
        <v>231670.71435247012</v>
      </c>
      <c r="L29" s="1">
        <f t="shared" si="4"/>
        <v>150585.9643291056</v>
      </c>
      <c r="M29" s="1">
        <f t="shared" si="37"/>
        <v>116854.70831938593</v>
      </c>
      <c r="N29" s="28">
        <f t="shared" si="5"/>
        <v>1.9400000000000001E-2</v>
      </c>
      <c r="O29" s="1">
        <f t="shared" si="6"/>
        <v>71624.946995013408</v>
      </c>
      <c r="P29" s="1">
        <f t="shared" si="7"/>
        <v>2220318.3891404411</v>
      </c>
      <c r="Q29" s="1">
        <f t="shared" si="26"/>
        <v>126983.32254787584</v>
      </c>
      <c r="R29" s="1"/>
      <c r="S29" s="1">
        <f t="shared" si="8"/>
        <v>16390.504456494717</v>
      </c>
      <c r="T29" s="1">
        <f t="shared" si="9"/>
        <v>262489.89612590545</v>
      </c>
      <c r="U29" s="1">
        <f t="shared" si="27"/>
        <v>15012.188931254195</v>
      </c>
      <c r="V29" s="1">
        <f t="shared" si="10"/>
        <v>23874.982331671134</v>
      </c>
      <c r="W29" s="1">
        <f t="shared" si="11"/>
        <v>740106.12971348013</v>
      </c>
      <c r="X29" s="1">
        <f t="shared" si="28"/>
        <v>42327.77418262526</v>
      </c>
      <c r="Y29" s="1">
        <f t="shared" si="12"/>
        <v>174194.67143326538</v>
      </c>
      <c r="AA29" s="6">
        <f t="shared" si="13"/>
        <v>0.36480586459364428</v>
      </c>
      <c r="AB29" s="6">
        <f t="shared" si="14"/>
        <v>0.26593385658641372</v>
      </c>
      <c r="AC29" s="6">
        <f t="shared" si="15"/>
        <v>0.35283916112785441</v>
      </c>
      <c r="AE29" s="1">
        <f t="shared" si="38"/>
        <v>231670.71435247012</v>
      </c>
      <c r="AF29" s="1">
        <f t="shared" si="17"/>
        <v>115835.35717623506</v>
      </c>
      <c r="AG29" s="1">
        <f t="shared" si="18"/>
        <v>89888.237168758409</v>
      </c>
      <c r="AH29" s="1">
        <f t="shared" si="29"/>
        <v>578836.83776268561</v>
      </c>
      <c r="AI29" s="1">
        <f t="shared" si="30"/>
        <v>33104.542678073696</v>
      </c>
      <c r="AJ29" s="1">
        <f t="shared" si="19"/>
        <v>16390.504456494717</v>
      </c>
      <c r="AK29" s="1">
        <f t="shared" si="20"/>
        <v>248198.94814858813</v>
      </c>
      <c r="AL29" s="1">
        <f t="shared" si="31"/>
        <v>14194.868286884297</v>
      </c>
      <c r="AM29" s="1">
        <f t="shared" si="21"/>
        <v>23874.982331671134</v>
      </c>
      <c r="AN29" s="1">
        <f t="shared" si="22"/>
        <v>547160.51712591818</v>
      </c>
      <c r="AO29" s="1">
        <f t="shared" si="32"/>
        <v>31292.926623267358</v>
      </c>
      <c r="AP29" s="1">
        <f t="shared" si="0"/>
        <v>168480.57475698375</v>
      </c>
      <c r="BA29">
        <v>1.8</v>
      </c>
      <c r="BB29">
        <f t="shared" si="41"/>
        <v>0.5</v>
      </c>
    </row>
    <row r="30" spans="1:54" x14ac:dyDescent="0.25">
      <c r="A30">
        <f t="shared" si="39"/>
        <v>62</v>
      </c>
      <c r="B30">
        <f t="shared" si="39"/>
        <v>27</v>
      </c>
      <c r="C30">
        <f t="shared" si="1"/>
        <v>1.7</v>
      </c>
      <c r="D30" s="1">
        <f t="shared" si="24"/>
        <v>500419.62967182684</v>
      </c>
      <c r="E30" s="1">
        <f t="shared" si="40"/>
        <v>564862.00530691619</v>
      </c>
      <c r="F30" s="1">
        <f t="shared" si="40"/>
        <v>249433.32254344269</v>
      </c>
      <c r="G30" s="1">
        <f t="shared" si="2"/>
        <v>249433.32254344269</v>
      </c>
      <c r="H30" s="1">
        <f t="shared" si="34"/>
        <v>455404.62159967923</v>
      </c>
      <c r="I30" s="1">
        <f t="shared" si="35"/>
        <v>307398.11957978347</v>
      </c>
      <c r="J30" s="1">
        <f t="shared" si="36"/>
        <v>255755.23549037986</v>
      </c>
      <c r="K30" s="1">
        <f t="shared" si="33"/>
        <v>237462.48221128184</v>
      </c>
      <c r="L30" s="1">
        <f t="shared" si="4"/>
        <v>160287.17549261526</v>
      </c>
      <c r="M30" s="1">
        <f t="shared" si="37"/>
        <v>133358.93000985586</v>
      </c>
      <c r="N30" s="28">
        <f t="shared" si="5"/>
        <v>2.0799999999999999E-2</v>
      </c>
      <c r="O30" s="1">
        <f t="shared" si="6"/>
        <v>75062.944450774041</v>
      </c>
      <c r="P30" s="1">
        <f t="shared" si="7"/>
        <v>2444004.5922441785</v>
      </c>
      <c r="Q30" s="1">
        <f t="shared" si="26"/>
        <v>141117.08919770442</v>
      </c>
      <c r="R30" s="1"/>
      <c r="S30" s="1">
        <f t="shared" si="8"/>
        <v>17569.041498986891</v>
      </c>
      <c r="T30" s="1">
        <f t="shared" si="9"/>
        <v>297099.56981987826</v>
      </c>
      <c r="U30" s="1">
        <f t="shared" si="27"/>
        <v>17154.56125897598</v>
      </c>
      <c r="V30" s="1">
        <f t="shared" si="10"/>
        <v>25020.981483591342</v>
      </c>
      <c r="W30" s="1">
        <f t="shared" si="11"/>
        <v>814668.19741472602</v>
      </c>
      <c r="X30" s="1">
        <f t="shared" si="28"/>
        <v>47039.029732568131</v>
      </c>
      <c r="Y30" s="1">
        <f t="shared" si="12"/>
        <v>197552.52100139996</v>
      </c>
      <c r="AA30" s="6">
        <f t="shared" si="13"/>
        <v>0.39477372446591291</v>
      </c>
      <c r="AB30" s="6">
        <f t="shared" si="14"/>
        <v>0.28199750935079915</v>
      </c>
      <c r="AC30" s="6">
        <f t="shared" si="15"/>
        <v>0.38132344989860667</v>
      </c>
      <c r="AE30" s="1">
        <f t="shared" si="38"/>
        <v>237462.48221128184</v>
      </c>
      <c r="AF30" s="1">
        <f t="shared" si="17"/>
        <v>124667.80316092298</v>
      </c>
      <c r="AG30" s="1">
        <f t="shared" si="18"/>
        <v>103723.61222988789</v>
      </c>
      <c r="AH30" s="1">
        <f t="shared" si="29"/>
        <v>617908.32431166677</v>
      </c>
      <c r="AI30" s="1">
        <f t="shared" si="30"/>
        <v>35678.093402363673</v>
      </c>
      <c r="AJ30" s="1">
        <f t="shared" si="19"/>
        <v>17569.041498986891</v>
      </c>
      <c r="AK30" s="1">
        <f t="shared" si="20"/>
        <v>281843.98285409203</v>
      </c>
      <c r="AL30" s="1">
        <f t="shared" si="31"/>
        <v>16273.702019412365</v>
      </c>
      <c r="AM30" s="1">
        <f t="shared" si="21"/>
        <v>25020.981483591342</v>
      </c>
      <c r="AN30" s="1">
        <f t="shared" si="22"/>
        <v>608698.75597750361</v>
      </c>
      <c r="AO30" s="1">
        <f t="shared" si="32"/>
        <v>35146.331931780231</v>
      </c>
      <c r="AP30" s="1">
        <f t="shared" si="0"/>
        <v>190821.73958344417</v>
      </c>
      <c r="BA30">
        <v>1.7</v>
      </c>
      <c r="BB30">
        <f t="shared" si="41"/>
        <v>0.5</v>
      </c>
    </row>
    <row r="31" spans="1:54" x14ac:dyDescent="0.25">
      <c r="A31">
        <f t="shared" si="39"/>
        <v>63</v>
      </c>
      <c r="B31">
        <f t="shared" si="39"/>
        <v>28</v>
      </c>
      <c r="C31">
        <f t="shared" si="1"/>
        <v>1.6</v>
      </c>
      <c r="D31" s="1">
        <f t="shared" si="24"/>
        <v>523939.35226640257</v>
      </c>
      <c r="E31" s="1">
        <f t="shared" si="40"/>
        <v>578983.55543958908</v>
      </c>
      <c r="F31" s="1">
        <f t="shared" si="40"/>
        <v>255669.15560702872</v>
      </c>
      <c r="G31" s="1">
        <f t="shared" si="2"/>
        <v>255669.15560702872</v>
      </c>
      <c r="H31" s="1">
        <f t="shared" si="34"/>
        <v>477704.78788612317</v>
      </c>
      <c r="I31" s="1">
        <f t="shared" si="35"/>
        <v>334393.35152028629</v>
      </c>
      <c r="J31" s="1">
        <f t="shared" si="36"/>
        <v>296941.29615001415</v>
      </c>
      <c r="K31" s="1">
        <f t="shared" si="33"/>
        <v>243399.04426656387</v>
      </c>
      <c r="L31" s="1">
        <f t="shared" si="4"/>
        <v>170379.33098659472</v>
      </c>
      <c r="M31" s="1">
        <f t="shared" si="37"/>
        <v>151296.84591609609</v>
      </c>
      <c r="N31" s="28">
        <f t="shared" si="5"/>
        <v>2.2199999999999998E-2</v>
      </c>
      <c r="O31" s="1">
        <f t="shared" si="6"/>
        <v>78590.902839960399</v>
      </c>
      <c r="P31" s="1">
        <f t="shared" si="7"/>
        <v>2686332.7202255828</v>
      </c>
      <c r="Q31" s="1">
        <f t="shared" si="26"/>
        <v>156682.12371726474</v>
      </c>
      <c r="R31" s="1"/>
      <c r="S31" s="1">
        <f t="shared" si="8"/>
        <v>18778.913766156169</v>
      </c>
      <c r="T31" s="1">
        <f t="shared" si="9"/>
        <v>335259.96453787893</v>
      </c>
      <c r="U31" s="1">
        <f t="shared" si="27"/>
        <v>19554.258058085459</v>
      </c>
      <c r="V31" s="1">
        <f t="shared" si="10"/>
        <v>26196.967613320128</v>
      </c>
      <c r="W31" s="1">
        <f t="shared" si="11"/>
        <v>895444.24007519404</v>
      </c>
      <c r="X31" s="1">
        <f t="shared" si="28"/>
        <v>52227.37457242157</v>
      </c>
      <c r="Y31" s="1">
        <f t="shared" si="12"/>
        <v>223078.47854660312</v>
      </c>
      <c r="AA31" s="6">
        <f t="shared" si="13"/>
        <v>0.42577156608228289</v>
      </c>
      <c r="AB31" s="6">
        <f t="shared" si="14"/>
        <v>0.29904629808680228</v>
      </c>
      <c r="AC31" s="6">
        <f t="shared" si="15"/>
        <v>0.41103283073549451</v>
      </c>
      <c r="AE31" s="1">
        <f t="shared" si="38"/>
        <v>243399.04426656387</v>
      </c>
      <c r="AF31" s="1">
        <f t="shared" si="17"/>
        <v>133869.47434661014</v>
      </c>
      <c r="AG31" s="1">
        <f t="shared" si="18"/>
        <v>118876.09321978978</v>
      </c>
      <c r="AH31" s="1">
        <f t="shared" si="29"/>
        <v>659617.13620270416</v>
      </c>
      <c r="AI31" s="1">
        <f t="shared" si="30"/>
        <v>38472.603546987739</v>
      </c>
      <c r="AJ31" s="1">
        <f t="shared" si="19"/>
        <v>18778.913766156169</v>
      </c>
      <c r="AK31" s="1">
        <f t="shared" si="20"/>
        <v>318974.6254519021</v>
      </c>
      <c r="AL31" s="1">
        <f t="shared" si="31"/>
        <v>18604.404938911022</v>
      </c>
      <c r="AM31" s="1">
        <f t="shared" si="21"/>
        <v>26196.967613320128</v>
      </c>
      <c r="AN31" s="1">
        <f t="shared" si="22"/>
        <v>675571.86134095921</v>
      </c>
      <c r="AO31" s="1">
        <f t="shared" si="32"/>
        <v>39403.173390092321</v>
      </c>
      <c r="AP31" s="1">
        <f t="shared" si="0"/>
        <v>215356.27509578087</v>
      </c>
      <c r="BA31">
        <v>1.6</v>
      </c>
      <c r="BB31">
        <f t="shared" si="41"/>
        <v>0.5</v>
      </c>
    </row>
    <row r="32" spans="1:54" x14ac:dyDescent="0.25">
      <c r="A32">
        <f t="shared" si="39"/>
        <v>64</v>
      </c>
      <c r="B32">
        <f t="shared" si="39"/>
        <v>29</v>
      </c>
      <c r="C32">
        <f t="shared" si="1"/>
        <v>1.5</v>
      </c>
      <c r="D32" s="1">
        <f t="shared" si="24"/>
        <v>548040.56247065694</v>
      </c>
      <c r="E32" s="1">
        <f t="shared" si="40"/>
        <v>593458.1443255787</v>
      </c>
      <c r="F32" s="1">
        <f t="shared" si="40"/>
        <v>262060.88449720442</v>
      </c>
      <c r="G32" s="1">
        <f t="shared" si="2"/>
        <v>262060.88449720442</v>
      </c>
      <c r="H32" s="1">
        <f t="shared" si="34"/>
        <v>500619.54285721725</v>
      </c>
      <c r="I32" s="1">
        <f t="shared" si="35"/>
        <v>362949.16857148253</v>
      </c>
      <c r="J32" s="1">
        <f t="shared" si="36"/>
        <v>342624.01513147948</v>
      </c>
      <c r="K32" s="1">
        <f t="shared" si="33"/>
        <v>249484.02037322792</v>
      </c>
      <c r="L32" s="1">
        <f t="shared" si="4"/>
        <v>180875.91477059026</v>
      </c>
      <c r="M32" s="1">
        <f t="shared" si="37"/>
        <v>170746.86354343718</v>
      </c>
      <c r="N32" s="28">
        <f t="shared" si="5"/>
        <v>2.3599999999999999E-2</v>
      </c>
      <c r="O32" s="1">
        <f t="shared" si="6"/>
        <v>82206.084370598546</v>
      </c>
      <c r="P32" s="1">
        <f t="shared" si="7"/>
        <v>2948653.8142919634</v>
      </c>
      <c r="Q32" s="1">
        <f t="shared" si="26"/>
        <v>173827.06867518634</v>
      </c>
      <c r="R32" s="1"/>
      <c r="S32" s="1">
        <f t="shared" si="8"/>
        <v>20018.577458141677</v>
      </c>
      <c r="T32" s="1">
        <f t="shared" si="9"/>
        <v>377243.04717474082</v>
      </c>
      <c r="U32" s="1">
        <f t="shared" si="27"/>
        <v>22238.979954391918</v>
      </c>
      <c r="V32" s="1">
        <f t="shared" si="10"/>
        <v>27402.028123532848</v>
      </c>
      <c r="W32" s="1">
        <f t="shared" si="11"/>
        <v>982884.60476398747</v>
      </c>
      <c r="X32" s="1">
        <f t="shared" si="28"/>
        <v>57942.356225062096</v>
      </c>
      <c r="Y32" s="1">
        <f t="shared" si="12"/>
        <v>250928.19972289121</v>
      </c>
      <c r="AA32" s="6">
        <f t="shared" si="13"/>
        <v>0.45786428397136453</v>
      </c>
      <c r="AB32" s="6">
        <f t="shared" si="14"/>
        <v>0.31717920274285055</v>
      </c>
      <c r="AC32" s="6">
        <f t="shared" si="15"/>
        <v>0.44202895118212793</v>
      </c>
      <c r="AE32" s="1">
        <f t="shared" si="38"/>
        <v>249484.02037322792</v>
      </c>
      <c r="AF32" s="1">
        <f t="shared" si="17"/>
        <v>143453.31171460607</v>
      </c>
      <c r="AG32" s="1">
        <f t="shared" si="18"/>
        <v>135419.92625858809</v>
      </c>
      <c r="AH32" s="1">
        <f t="shared" si="29"/>
        <v>704141.29289638659</v>
      </c>
      <c r="AI32" s="1">
        <f t="shared" si="30"/>
        <v>41510.066825774644</v>
      </c>
      <c r="AJ32" s="1">
        <f t="shared" si="19"/>
        <v>20018.577458141677</v>
      </c>
      <c r="AK32" s="1">
        <f t="shared" si="20"/>
        <v>359858.44770046056</v>
      </c>
      <c r="AL32" s="1">
        <f t="shared" si="31"/>
        <v>21214.134666667982</v>
      </c>
      <c r="AM32" s="1">
        <f t="shared" si="21"/>
        <v>27402.028123532848</v>
      </c>
      <c r="AN32" s="1">
        <f t="shared" si="22"/>
        <v>748170.84046519175</v>
      </c>
      <c r="AO32" s="1">
        <f t="shared" si="32"/>
        <v>44105.667283137213</v>
      </c>
      <c r="AP32" s="1">
        <f t="shared" si="0"/>
        <v>242249.79503416794</v>
      </c>
      <c r="BA32">
        <v>1.5</v>
      </c>
      <c r="BB32">
        <f t="shared" si="41"/>
        <v>0.5</v>
      </c>
    </row>
    <row r="33" spans="1:54" x14ac:dyDescent="0.25">
      <c r="A33">
        <f t="shared" si="39"/>
        <v>65</v>
      </c>
      <c r="B33">
        <f t="shared" si="39"/>
        <v>30</v>
      </c>
      <c r="C33">
        <f t="shared" si="1"/>
        <v>1.25</v>
      </c>
      <c r="D33" s="1">
        <f t="shared" si="24"/>
        <v>572702.38778183633</v>
      </c>
      <c r="E33" s="1">
        <f t="shared" si="40"/>
        <v>608294.59793371812</v>
      </c>
      <c r="F33" s="1">
        <f t="shared" si="40"/>
        <v>268612.40660963452</v>
      </c>
      <c r="G33" s="1">
        <f t="shared" si="2"/>
        <v>268612.40660963452</v>
      </c>
      <c r="H33" s="1">
        <f t="shared" si="34"/>
        <v>524133.1814696287</v>
      </c>
      <c r="I33" s="1">
        <f t="shared" si="35"/>
        <v>393099.88610222156</v>
      </c>
      <c r="J33" s="1">
        <f t="shared" si="36"/>
        <v>393099.88610222156</v>
      </c>
      <c r="K33" s="1">
        <f t="shared" si="33"/>
        <v>255721.12088255858</v>
      </c>
      <c r="L33" s="1">
        <f t="shared" si="4"/>
        <v>191790.84066191895</v>
      </c>
      <c r="M33" s="1">
        <f t="shared" si="37"/>
        <v>191790.84066191895</v>
      </c>
      <c r="N33" s="28">
        <f t="shared" si="5"/>
        <v>2.5000000000000001E-2</v>
      </c>
      <c r="O33" s="1">
        <f t="shared" si="6"/>
        <v>85905.358167275466</v>
      </c>
      <c r="P33" s="1">
        <f t="shared" si="7"/>
        <v>3232407.2894385774</v>
      </c>
      <c r="Q33" s="1">
        <f t="shared" si="26"/>
        <v>192718.32310289307</v>
      </c>
      <c r="R33" s="1"/>
      <c r="S33" s="1">
        <f t="shared" si="8"/>
        <v>21286.29868205413</v>
      </c>
      <c r="T33" s="1">
        <f t="shared" si="9"/>
        <v>423337.55139277602</v>
      </c>
      <c r="U33" s="1">
        <f t="shared" si="27"/>
        <v>25239.673007008576</v>
      </c>
      <c r="V33" s="1">
        <f t="shared" si="10"/>
        <v>28635.119389091818</v>
      </c>
      <c r="W33" s="1">
        <f t="shared" si="11"/>
        <v>1077469.0964795253</v>
      </c>
      <c r="X33" s="1">
        <f t="shared" si="28"/>
        <v>64239.441034297663</v>
      </c>
      <c r="Y33" s="1">
        <f t="shared" si="12"/>
        <v>281269.95470322517</v>
      </c>
      <c r="AA33" s="6">
        <f t="shared" si="13"/>
        <v>0.49112760956458834</v>
      </c>
      <c r="AB33" s="6">
        <f t="shared" si="14"/>
        <v>0.33650693137376381</v>
      </c>
      <c r="AC33" s="6">
        <f t="shared" si="15"/>
        <v>0.47438617206730882</v>
      </c>
      <c r="AE33" s="1">
        <f t="shared" si="38"/>
        <v>255721.12088255858</v>
      </c>
      <c r="AF33" s="1">
        <f t="shared" si="17"/>
        <v>153432.67252953516</v>
      </c>
      <c r="AG33" s="1">
        <f t="shared" si="18"/>
        <v>153432.67252953516</v>
      </c>
      <c r="AH33" s="1">
        <f t="shared" si="29"/>
        <v>751670.83016689261</v>
      </c>
      <c r="AI33" s="1">
        <f t="shared" si="30"/>
        <v>44815.126605002588</v>
      </c>
      <c r="AJ33" s="1">
        <f t="shared" si="19"/>
        <v>21286.29868205413</v>
      </c>
      <c r="AK33" s="1">
        <f t="shared" si="20"/>
        <v>404779.4914539819</v>
      </c>
      <c r="AL33" s="1">
        <f t="shared" si="31"/>
        <v>24133.22883979827</v>
      </c>
      <c r="AM33" s="1">
        <f t="shared" si="21"/>
        <v>28635.119389091818</v>
      </c>
      <c r="AN33" s="1">
        <f t="shared" si="22"/>
        <v>826912.15309056104</v>
      </c>
      <c r="AO33" s="1">
        <f t="shared" si="32"/>
        <v>49301.065499296797</v>
      </c>
      <c r="AP33" s="1">
        <f t="shared" si="0"/>
        <v>271682.09347363282</v>
      </c>
      <c r="BA33">
        <v>1.25</v>
      </c>
      <c r="BB33">
        <f t="shared" si="41"/>
        <v>0.5</v>
      </c>
    </row>
    <row r="34" spans="1:54" x14ac:dyDescent="0.25">
      <c r="A34">
        <f t="shared" si="39"/>
        <v>66</v>
      </c>
      <c r="B34">
        <f t="shared" si="39"/>
        <v>31</v>
      </c>
      <c r="C34">
        <f t="shared" si="1"/>
        <v>1.25</v>
      </c>
      <c r="D34" s="1">
        <f t="shared" si="24"/>
        <v>597042.23926256422</v>
      </c>
      <c r="E34" s="1">
        <f t="shared" si="40"/>
        <v>623501.96288206102</v>
      </c>
      <c r="F34" s="1">
        <f t="shared" si="40"/>
        <v>275327.71677487536</v>
      </c>
      <c r="G34" s="1">
        <f t="shared" si="2"/>
        <v>275327.71677487536</v>
      </c>
      <c r="H34" s="1">
        <f t="shared" si="34"/>
        <v>548227.43417296524</v>
      </c>
      <c r="I34" s="1">
        <f t="shared" si="35"/>
        <v>424876.2614840481</v>
      </c>
      <c r="J34" s="1">
        <f t="shared" si="36"/>
        <v>424876.2614840481</v>
      </c>
      <c r="K34" s="1">
        <f t="shared" si="33"/>
        <v>262114.14890462253</v>
      </c>
      <c r="L34" s="1">
        <f t="shared" si="4"/>
        <v>203138.46540108247</v>
      </c>
      <c r="M34" s="1">
        <f t="shared" si="37"/>
        <v>203138.46540108247</v>
      </c>
      <c r="N34" s="28">
        <f t="shared" si="5"/>
        <v>2.5000000000000001E-2</v>
      </c>
      <c r="O34" s="1">
        <f t="shared" si="6"/>
        <v>89556.335889384645</v>
      </c>
      <c r="P34" s="1">
        <f t="shared" si="7"/>
        <v>3539126.4945782735</v>
      </c>
      <c r="Q34" s="1">
        <f t="shared" si="26"/>
        <v>213542.66272494168</v>
      </c>
      <c r="R34" s="1"/>
      <c r="S34" s="1">
        <f t="shared" si="8"/>
        <v>22520.016574138222</v>
      </c>
      <c r="T34" s="1">
        <f t="shared" si="9"/>
        <v>473849.91347390326</v>
      </c>
      <c r="U34" s="1">
        <f t="shared" si="27"/>
        <v>28591.001878631105</v>
      </c>
      <c r="V34" s="1">
        <f t="shared" si="10"/>
        <v>29852.111963128213</v>
      </c>
      <c r="W34" s="1">
        <f t="shared" si="11"/>
        <v>1179708.8315260906</v>
      </c>
      <c r="X34" s="1">
        <f t="shared" si="28"/>
        <v>71180.88757498053</v>
      </c>
      <c r="Y34" s="1">
        <f t="shared" si="12"/>
        <v>302910.3548546941</v>
      </c>
      <c r="AA34" s="6">
        <f t="shared" si="13"/>
        <v>0.5073516326563986</v>
      </c>
      <c r="AB34" s="6">
        <f t="shared" si="14"/>
        <v>0.35766759649819513</v>
      </c>
      <c r="AC34" s="6">
        <f t="shared" si="15"/>
        <v>0.49355784163489547</v>
      </c>
      <c r="AE34" s="1">
        <f t="shared" si="38"/>
        <v>262114.14890462253</v>
      </c>
      <c r="AF34" s="1">
        <f t="shared" si="17"/>
        <v>163821.34306538911</v>
      </c>
      <c r="AG34" s="1">
        <f t="shared" si="18"/>
        <v>163821.34306538911</v>
      </c>
      <c r="AH34" s="1">
        <f t="shared" si="29"/>
        <v>802408.61120315781</v>
      </c>
      <c r="AI34" s="1">
        <f t="shared" si="30"/>
        <v>48415.469662426658</v>
      </c>
      <c r="AJ34" s="1">
        <f t="shared" si="19"/>
        <v>22520.016574138222</v>
      </c>
      <c r="AK34" s="1">
        <f t="shared" si="20"/>
        <v>454039.18448924052</v>
      </c>
      <c r="AL34" s="1">
        <f t="shared" si="31"/>
        <v>27395.668559975267</v>
      </c>
      <c r="AM34" s="1">
        <f t="shared" si="21"/>
        <v>29852.111963128213</v>
      </c>
      <c r="AN34" s="1">
        <f t="shared" si="22"/>
        <v>912239.29445837135</v>
      </c>
      <c r="AO34" s="1">
        <f t="shared" si="32"/>
        <v>55042.397687504985</v>
      </c>
      <c r="AP34" s="1">
        <f t="shared" si="0"/>
        <v>294674.87897529604</v>
      </c>
      <c r="BA34">
        <v>1.25</v>
      </c>
      <c r="BB34">
        <f t="shared" si="41"/>
        <v>0.5</v>
      </c>
    </row>
    <row r="35" spans="1:54" x14ac:dyDescent="0.25">
      <c r="A35">
        <f t="shared" si="39"/>
        <v>67</v>
      </c>
      <c r="B35">
        <f t="shared" si="39"/>
        <v>32</v>
      </c>
      <c r="C35">
        <f t="shared" si="1"/>
        <v>1.25</v>
      </c>
      <c r="D35" s="1">
        <f t="shared" si="24"/>
        <v>622416.53443122306</v>
      </c>
      <c r="E35" s="1">
        <f t="shared" si="40"/>
        <v>639089.51195411244</v>
      </c>
      <c r="F35" s="1">
        <f t="shared" si="40"/>
        <v>282210.90969424724</v>
      </c>
      <c r="G35" s="1">
        <f t="shared" si="2"/>
        <v>282210.90969424724</v>
      </c>
      <c r="H35" s="1">
        <f t="shared" si="34"/>
        <v>572595.06317168579</v>
      </c>
      <c r="I35" s="1">
        <f t="shared" si="35"/>
        <v>458076.05053734867</v>
      </c>
      <c r="J35" s="1">
        <f t="shared" si="36"/>
        <v>458076.05053734867</v>
      </c>
      <c r="K35" s="1">
        <f t="shared" si="33"/>
        <v>268667.00262723805</v>
      </c>
      <c r="L35" s="1">
        <f t="shared" si="4"/>
        <v>214933.60210179046</v>
      </c>
      <c r="M35" s="1">
        <f t="shared" si="37"/>
        <v>214933.60210179046</v>
      </c>
      <c r="N35" s="28">
        <f t="shared" si="5"/>
        <v>2.5000000000000001E-2</v>
      </c>
      <c r="O35" s="1">
        <f t="shared" si="6"/>
        <v>93362.480164683468</v>
      </c>
      <c r="P35" s="1">
        <f t="shared" si="7"/>
        <v>3870311.8438717593</v>
      </c>
      <c r="Q35" s="1">
        <f t="shared" si="26"/>
        <v>236502.2230033121</v>
      </c>
      <c r="R35" s="1"/>
      <c r="S35" s="1">
        <f t="shared" si="8"/>
        <v>23814.393731588309</v>
      </c>
      <c r="T35" s="1">
        <f t="shared" si="9"/>
        <v>529043.29591989727</v>
      </c>
      <c r="U35" s="1">
        <f t="shared" si="27"/>
        <v>32328.122538283136</v>
      </c>
      <c r="V35" s="1">
        <f t="shared" si="10"/>
        <v>31120.826721561156</v>
      </c>
      <c r="W35" s="1">
        <f t="shared" si="11"/>
        <v>1290103.9479572524</v>
      </c>
      <c r="X35" s="1">
        <f t="shared" si="28"/>
        <v>78834.074334437319</v>
      </c>
      <c r="Y35" s="1">
        <f t="shared" si="12"/>
        <v>326095.79897451092</v>
      </c>
      <c r="AA35" s="6">
        <f t="shared" si="13"/>
        <v>0.52391892074734792</v>
      </c>
      <c r="AB35" s="6">
        <f t="shared" si="14"/>
        <v>0.37997419721414161</v>
      </c>
      <c r="AC35" s="6">
        <f t="shared" si="15"/>
        <v>0.51315848640909267</v>
      </c>
      <c r="AE35" s="1">
        <f t="shared" si="38"/>
        <v>268667.00262723805</v>
      </c>
      <c r="AF35" s="1">
        <f t="shared" si="17"/>
        <v>174633.55170770476</v>
      </c>
      <c r="AG35" s="1">
        <f t="shared" si="18"/>
        <v>174633.55170770476</v>
      </c>
      <c r="AH35" s="1">
        <f t="shared" si="29"/>
        <v>856571.19245937082</v>
      </c>
      <c r="AI35" s="1">
        <f t="shared" si="30"/>
        <v>52342.291616114933</v>
      </c>
      <c r="AJ35" s="1">
        <f t="shared" si="19"/>
        <v>23814.393731588309</v>
      </c>
      <c r="AK35" s="1">
        <f t="shared" si="20"/>
        <v>507895.34272876981</v>
      </c>
      <c r="AL35" s="1">
        <f t="shared" si="31"/>
        <v>31035.839605167279</v>
      </c>
      <c r="AM35" s="1">
        <f t="shared" si="21"/>
        <v>31120.826721561156</v>
      </c>
      <c r="AN35" s="1">
        <f t="shared" si="22"/>
        <v>1004580.2171374622</v>
      </c>
      <c r="AO35" s="1">
        <f t="shared" si="32"/>
        <v>61386.643795732358</v>
      </c>
      <c r="AP35" s="1">
        <f t="shared" si="0"/>
        <v>319398.32672471931</v>
      </c>
      <c r="BA35">
        <v>1.25</v>
      </c>
      <c r="BB35">
        <f t="shared" si="41"/>
        <v>0.5</v>
      </c>
    </row>
    <row r="36" spans="1:54" x14ac:dyDescent="0.25">
      <c r="A36">
        <f t="shared" si="39"/>
        <v>68</v>
      </c>
      <c r="B36">
        <f t="shared" si="39"/>
        <v>33</v>
      </c>
      <c r="C36">
        <f t="shared" si="1"/>
        <v>1.25</v>
      </c>
      <c r="D36" s="1">
        <f t="shared" si="24"/>
        <v>648869.23714454984</v>
      </c>
      <c r="E36" s="1">
        <f t="shared" si="40"/>
        <v>655066.74975296517</v>
      </c>
      <c r="F36" s="1">
        <f t="shared" si="40"/>
        <v>289266.18243660341</v>
      </c>
      <c r="G36" s="1">
        <f t="shared" si="2"/>
        <v>289266.18243660341</v>
      </c>
      <c r="H36" s="1">
        <f t="shared" si="34"/>
        <v>597387.05382520787</v>
      </c>
      <c r="I36" s="1">
        <f t="shared" si="35"/>
        <v>492844.31940579653</v>
      </c>
      <c r="J36" s="1">
        <f t="shared" si="36"/>
        <v>492844.31940579647</v>
      </c>
      <c r="K36" s="1">
        <f t="shared" si="33"/>
        <v>275383.67769291904</v>
      </c>
      <c r="L36" s="1">
        <f t="shared" si="4"/>
        <v>227191.5340966582</v>
      </c>
      <c r="M36" s="1">
        <f t="shared" si="37"/>
        <v>227191.53409665823</v>
      </c>
      <c r="N36" s="28">
        <f t="shared" si="5"/>
        <v>2.5000000000000001E-2</v>
      </c>
      <c r="O36" s="1">
        <f t="shared" si="6"/>
        <v>97330.385571682491</v>
      </c>
      <c r="P36" s="1">
        <f t="shared" si="7"/>
        <v>4227774.7124562068</v>
      </c>
      <c r="Q36" s="1">
        <f t="shared" si="26"/>
        <v>261838.53750254391</v>
      </c>
      <c r="R36" s="1"/>
      <c r="S36" s="1">
        <f t="shared" si="8"/>
        <v>25172.213829556251</v>
      </c>
      <c r="T36" s="1">
        <f t="shared" si="9"/>
        <v>589296.18138558569</v>
      </c>
      <c r="U36" s="1">
        <f t="shared" si="27"/>
        <v>36496.847818126</v>
      </c>
      <c r="V36" s="1">
        <f t="shared" si="10"/>
        <v>32443.461857227492</v>
      </c>
      <c r="W36" s="1">
        <f t="shared" si="11"/>
        <v>1409258.2374854016</v>
      </c>
      <c r="X36" s="1">
        <f t="shared" si="28"/>
        <v>87279.512500847923</v>
      </c>
      <c r="Y36" s="1">
        <f t="shared" si="12"/>
        <v>350967.89441563212</v>
      </c>
      <c r="AA36" s="6">
        <f t="shared" si="13"/>
        <v>0.54089156077135203</v>
      </c>
      <c r="AB36" s="6">
        <f t="shared" si="14"/>
        <v>0.40353051510779764</v>
      </c>
      <c r="AC36" s="6">
        <f t="shared" si="15"/>
        <v>0.53326010739207452</v>
      </c>
      <c r="AE36" s="1">
        <f t="shared" si="38"/>
        <v>275383.67769291904</v>
      </c>
      <c r="AF36" s="1">
        <f t="shared" si="17"/>
        <v>185883.98244272036</v>
      </c>
      <c r="AG36" s="1">
        <f t="shared" si="18"/>
        <v>185883.98244272036</v>
      </c>
      <c r="AH36" s="1">
        <f t="shared" si="29"/>
        <v>914389.74795037822</v>
      </c>
      <c r="AI36" s="1">
        <f t="shared" si="30"/>
        <v>56630.849700964711</v>
      </c>
      <c r="AJ36" s="1">
        <f t="shared" si="19"/>
        <v>25172.213829556251</v>
      </c>
      <c r="AK36" s="1">
        <f t="shared" si="20"/>
        <v>566720.7413540571</v>
      </c>
      <c r="AL36" s="1">
        <f t="shared" si="31"/>
        <v>35098.684338904648</v>
      </c>
      <c r="AM36" s="1">
        <f t="shared" si="21"/>
        <v>32443.461857227492</v>
      </c>
      <c r="AN36" s="1">
        <f t="shared" si="22"/>
        <v>1104461.6548352756</v>
      </c>
      <c r="AO36" s="1">
        <f t="shared" si="32"/>
        <v>68402.562600526362</v>
      </c>
      <c r="AP36" s="1">
        <f t="shared" si="0"/>
        <v>346016.07908311608</v>
      </c>
      <c r="BA36">
        <v>1.25</v>
      </c>
      <c r="BB36">
        <f t="shared" si="41"/>
        <v>0.5</v>
      </c>
    </row>
    <row r="37" spans="1:54" x14ac:dyDescent="0.25">
      <c r="A37">
        <f t="shared" ref="A37:B50" si="42">A36+1</f>
        <v>69</v>
      </c>
      <c r="B37">
        <f t="shared" si="42"/>
        <v>34</v>
      </c>
      <c r="C37">
        <f t="shared" si="1"/>
        <v>1.25</v>
      </c>
      <c r="D37" s="1">
        <f t="shared" si="24"/>
        <v>676446.17972319305</v>
      </c>
      <c r="E37" s="1">
        <f t="shared" ref="E37:F50" si="43">E36*(1+$D$53)</f>
        <v>671443.41849678929</v>
      </c>
      <c r="F37" s="1">
        <f t="shared" si="43"/>
        <v>296497.83699751849</v>
      </c>
      <c r="G37" s="1">
        <f t="shared" si="2"/>
        <v>296497.83699751849</v>
      </c>
      <c r="H37" s="1">
        <f t="shared" si="34"/>
        <v>622776.00361277908</v>
      </c>
      <c r="I37" s="1">
        <f t="shared" si="35"/>
        <v>529359.60307086224</v>
      </c>
      <c r="J37" s="1">
        <f t="shared" si="36"/>
        <v>529359.60307086224</v>
      </c>
      <c r="K37" s="1">
        <f t="shared" si="33"/>
        <v>282268.269635242</v>
      </c>
      <c r="L37" s="1">
        <f t="shared" si="4"/>
        <v>239928.02918995573</v>
      </c>
      <c r="M37" s="1">
        <f t="shared" si="37"/>
        <v>239928.02918995573</v>
      </c>
      <c r="N37" s="28">
        <f t="shared" si="5"/>
        <v>2.5000000000000001E-2</v>
      </c>
      <c r="O37" s="1">
        <f t="shared" si="6"/>
        <v>100716.51277451841</v>
      </c>
      <c r="P37" s="1">
        <f t="shared" si="7"/>
        <v>4613455.5394828366</v>
      </c>
      <c r="Q37" s="1">
        <f t="shared" si="26"/>
        <v>289825.90772083338</v>
      </c>
      <c r="R37" s="1"/>
      <c r="S37" s="1">
        <f t="shared" si="8"/>
        <v>26246.19070494896</v>
      </c>
      <c r="T37" s="1">
        <f t="shared" si="9"/>
        <v>655015.46888449078</v>
      </c>
      <c r="U37" s="1">
        <f t="shared" si="27"/>
        <v>41149.297140926974</v>
      </c>
      <c r="V37" s="1">
        <f t="shared" si="10"/>
        <v>33572.170924839469</v>
      </c>
      <c r="W37" s="1">
        <f t="shared" si="11"/>
        <v>1537818.5131609447</v>
      </c>
      <c r="X37" s="1">
        <f t="shared" si="28"/>
        <v>96608.635906944401</v>
      </c>
      <c r="Y37" s="1">
        <f t="shared" si="12"/>
        <v>377685.96223782713</v>
      </c>
      <c r="AA37" s="6">
        <f t="shared" si="13"/>
        <v>0.55833852501374037</v>
      </c>
      <c r="AB37" s="6">
        <f t="shared" si="14"/>
        <v>0.42845375790196988</v>
      </c>
      <c r="AC37" s="6">
        <f t="shared" si="15"/>
        <v>0.55394282566986675</v>
      </c>
      <c r="AE37" s="1">
        <f t="shared" si="38"/>
        <v>282268.269635242</v>
      </c>
      <c r="AF37" s="1">
        <f t="shared" si="17"/>
        <v>197587.78874466941</v>
      </c>
      <c r="AG37" s="1">
        <f t="shared" si="18"/>
        <v>197587.78874466941</v>
      </c>
      <c r="AH37" s="1">
        <f t="shared" si="29"/>
        <v>976111.05593702861</v>
      </c>
      <c r="AI37" s="1">
        <f t="shared" si="30"/>
        <v>61321.122616693407</v>
      </c>
      <c r="AJ37" s="1">
        <f t="shared" si="19"/>
        <v>26246.19070494896</v>
      </c>
      <c r="AK37" s="1">
        <f t="shared" si="20"/>
        <v>630916.18665083405</v>
      </c>
      <c r="AL37" s="1">
        <f t="shared" si="31"/>
        <v>39635.335146709287</v>
      </c>
      <c r="AM37" s="1">
        <f t="shared" si="21"/>
        <v>33572.170924839469</v>
      </c>
      <c r="AN37" s="1">
        <f t="shared" si="22"/>
        <v>1212448.1611819353</v>
      </c>
      <c r="AO37" s="1">
        <f t="shared" si="32"/>
        <v>76168.261701379946</v>
      </c>
      <c r="AP37" s="1">
        <f t="shared" si="0"/>
        <v>374712.50820945209</v>
      </c>
      <c r="BA37">
        <v>1.25</v>
      </c>
      <c r="BB37">
        <f t="shared" si="41"/>
        <v>0.5</v>
      </c>
    </row>
    <row r="38" spans="1:54" x14ac:dyDescent="0.25">
      <c r="A38">
        <f t="shared" si="42"/>
        <v>70</v>
      </c>
      <c r="B38">
        <f t="shared" si="42"/>
        <v>35</v>
      </c>
      <c r="C38">
        <f t="shared" si="1"/>
        <v>1.25</v>
      </c>
      <c r="D38" s="1">
        <f t="shared" si="24"/>
        <v>705195.14236142859</v>
      </c>
      <c r="E38" s="1">
        <f t="shared" si="43"/>
        <v>688229.50395920896</v>
      </c>
      <c r="F38" s="1">
        <f t="shared" si="43"/>
        <v>303910.28292245645</v>
      </c>
      <c r="G38" s="1">
        <f t="shared" si="2"/>
        <v>303910.28292245645</v>
      </c>
      <c r="H38" s="1">
        <f t="shared" si="34"/>
        <v>649243.98376632202</v>
      </c>
      <c r="I38" s="1">
        <f t="shared" si="35"/>
        <v>568088.48579553177</v>
      </c>
      <c r="J38" s="1">
        <f t="shared" si="36"/>
        <v>568088.48579553177</v>
      </c>
      <c r="K38" s="1">
        <f t="shared" si="33"/>
        <v>289324.97637612303</v>
      </c>
      <c r="L38" s="1">
        <f t="shared" si="4"/>
        <v>253159.35432910768</v>
      </c>
      <c r="M38" s="1">
        <f t="shared" si="37"/>
        <v>253159.35432910768</v>
      </c>
      <c r="N38" s="28">
        <f t="shared" si="5"/>
        <v>2.5000000000000001E-2</v>
      </c>
      <c r="O38" s="1">
        <f t="shared" si="6"/>
        <v>103234.42559388136</v>
      </c>
      <c r="P38" s="1">
        <f t="shared" si="7"/>
        <v>5028659.472437622</v>
      </c>
      <c r="Q38" s="1">
        <f t="shared" si="26"/>
        <v>320727.58635694295</v>
      </c>
      <c r="R38" s="1"/>
      <c r="S38" s="1">
        <f t="shared" si="8"/>
        <v>26902.345472572677</v>
      </c>
      <c r="T38" s="1">
        <f t="shared" si="9"/>
        <v>726277.6194901719</v>
      </c>
      <c r="U38" s="1">
        <f t="shared" si="27"/>
        <v>46321.941105953163</v>
      </c>
      <c r="V38" s="1">
        <f t="shared" si="10"/>
        <v>34411.475197960448</v>
      </c>
      <c r="W38" s="1">
        <f t="shared" si="11"/>
        <v>1676219.8241458728</v>
      </c>
      <c r="X38" s="1">
        <f t="shared" si="28"/>
        <v>106909.19545231423</v>
      </c>
      <c r="Y38" s="1">
        <f t="shared" si="12"/>
        <v>406390.49088737508</v>
      </c>
      <c r="AA38" s="6">
        <f t="shared" si="13"/>
        <v>0.57628089939265448</v>
      </c>
      <c r="AB38" s="6">
        <f t="shared" si="14"/>
        <v>0.45480685712460955</v>
      </c>
      <c r="AC38" s="6">
        <f t="shared" si="15"/>
        <v>0.57524031772413908</v>
      </c>
      <c r="AE38" s="1">
        <f t="shared" si="38"/>
        <v>289324.97637612303</v>
      </c>
      <c r="AF38" s="1">
        <f t="shared" si="17"/>
        <v>209760.6078726892</v>
      </c>
      <c r="AG38" s="1">
        <f t="shared" si="18"/>
        <v>209760.6078726892</v>
      </c>
      <c r="AH38" s="1">
        <f t="shared" si="29"/>
        <v>1041998.5522127779</v>
      </c>
      <c r="AI38" s="1">
        <f t="shared" si="30"/>
        <v>66458.602430804938</v>
      </c>
      <c r="AJ38" s="1">
        <f t="shared" si="19"/>
        <v>26902.345472572677</v>
      </c>
      <c r="AK38" s="1">
        <f t="shared" si="20"/>
        <v>700551.63570574333</v>
      </c>
      <c r="AL38" s="1">
        <f t="shared" si="31"/>
        <v>44681.139470634247</v>
      </c>
      <c r="AM38" s="1">
        <f t="shared" si="21"/>
        <v>34411.475197960448</v>
      </c>
      <c r="AN38" s="1">
        <f t="shared" si="22"/>
        <v>1328886.9734082806</v>
      </c>
      <c r="AO38" s="1">
        <f t="shared" si="32"/>
        <v>84756.327975379289</v>
      </c>
      <c r="AP38" s="1">
        <f t="shared" si="0"/>
        <v>405656.67774950765</v>
      </c>
      <c r="BA38">
        <v>1.25</v>
      </c>
      <c r="BB38">
        <f t="shared" si="41"/>
        <v>0.5</v>
      </c>
    </row>
    <row r="39" spans="1:54" x14ac:dyDescent="0.25">
      <c r="A39">
        <f t="shared" si="42"/>
        <v>71</v>
      </c>
      <c r="B39">
        <f t="shared" si="42"/>
        <v>36</v>
      </c>
      <c r="C39">
        <f t="shared" si="1"/>
        <v>1.25</v>
      </c>
      <c r="D39" s="1">
        <f t="shared" si="24"/>
        <v>735165.93591178919</v>
      </c>
      <c r="E39" s="1">
        <f t="shared" si="43"/>
        <v>705435.24155818915</v>
      </c>
      <c r="F39" s="1">
        <f t="shared" si="43"/>
        <v>311508.03999551781</v>
      </c>
      <c r="G39" s="1">
        <f t="shared" si="2"/>
        <v>311508.03999551781</v>
      </c>
      <c r="H39" s="1">
        <f t="shared" si="34"/>
        <v>676836.85307639046</v>
      </c>
      <c r="I39" s="1">
        <f t="shared" si="35"/>
        <v>609153.1677687515</v>
      </c>
      <c r="J39" s="1">
        <f t="shared" si="36"/>
        <v>609153.1677687515</v>
      </c>
      <c r="K39" s="1">
        <f t="shared" si="33"/>
        <v>296558.1007855261</v>
      </c>
      <c r="L39" s="1">
        <f t="shared" si="4"/>
        <v>266902.29070697352</v>
      </c>
      <c r="M39" s="1">
        <f t="shared" si="37"/>
        <v>266902.29070697346</v>
      </c>
      <c r="N39" s="28">
        <f t="shared" si="5"/>
        <v>2.5000000000000001E-2</v>
      </c>
      <c r="O39" s="1">
        <f t="shared" si="6"/>
        <v>105815.28623372839</v>
      </c>
      <c r="P39" s="1">
        <f t="shared" si="7"/>
        <v>5474484.5629678471</v>
      </c>
      <c r="Q39" s="1">
        <f t="shared" si="26"/>
        <v>354825.55509953789</v>
      </c>
      <c r="R39" s="1"/>
      <c r="S39" s="1">
        <f t="shared" si="8"/>
        <v>27574.904109386996</v>
      </c>
      <c r="T39" s="1">
        <f t="shared" si="9"/>
        <v>803026.18042313587</v>
      </c>
      <c r="U39" s="1">
        <f t="shared" si="27"/>
        <v>52047.678087456567</v>
      </c>
      <c r="V39" s="1">
        <f t="shared" si="10"/>
        <v>35271.762077909458</v>
      </c>
      <c r="W39" s="1">
        <f t="shared" si="11"/>
        <v>1824828.1876559476</v>
      </c>
      <c r="X39" s="1">
        <f t="shared" si="28"/>
        <v>118275.18503317921</v>
      </c>
      <c r="Y39" s="1">
        <f t="shared" si="12"/>
        <v>437225.15382760926</v>
      </c>
      <c r="AA39" s="6">
        <f t="shared" si="13"/>
        <v>0.59472988677765781</v>
      </c>
      <c r="AB39" s="6">
        <f t="shared" si="14"/>
        <v>0.48264689339756428</v>
      </c>
      <c r="AC39" s="6">
        <f t="shared" si="15"/>
        <v>0.59717806859704226</v>
      </c>
      <c r="AE39" s="1">
        <f t="shared" si="38"/>
        <v>296558.1007855261</v>
      </c>
      <c r="AF39" s="1">
        <f t="shared" si="17"/>
        <v>222418.57558914457</v>
      </c>
      <c r="AG39" s="1">
        <f t="shared" si="18"/>
        <v>222418.57558914457</v>
      </c>
      <c r="AH39" s="1">
        <f t="shared" si="29"/>
        <v>1112333.4544871403</v>
      </c>
      <c r="AI39" s="1">
        <f t="shared" si="30"/>
        <v>72095.2504120714</v>
      </c>
      <c r="AJ39" s="1">
        <f t="shared" si="19"/>
        <v>27574.904109386996</v>
      </c>
      <c r="AK39" s="1">
        <f t="shared" si="20"/>
        <v>775563.69273325836</v>
      </c>
      <c r="AL39" s="1">
        <f t="shared" si="31"/>
        <v>50267.712809101242</v>
      </c>
      <c r="AM39" s="1">
        <f t="shared" si="21"/>
        <v>35271.762077909458</v>
      </c>
      <c r="AN39" s="1">
        <f t="shared" si="22"/>
        <v>1454050.3694935681</v>
      </c>
      <c r="AO39" s="1">
        <f t="shared" si="32"/>
        <v>94243.434895822109</v>
      </c>
      <c r="AP39" s="1">
        <f t="shared" si="0"/>
        <v>439024.97370613925</v>
      </c>
      <c r="BA39">
        <v>1.25</v>
      </c>
      <c r="BB39">
        <f t="shared" si="41"/>
        <v>0.5</v>
      </c>
    </row>
    <row r="40" spans="1:54" x14ac:dyDescent="0.25">
      <c r="A40">
        <f t="shared" si="42"/>
        <v>72</v>
      </c>
      <c r="B40">
        <f t="shared" si="42"/>
        <v>37</v>
      </c>
      <c r="C40">
        <f t="shared" si="1"/>
        <v>1.25</v>
      </c>
      <c r="D40" s="1">
        <f t="shared" si="24"/>
        <v>766410.48818804009</v>
      </c>
      <c r="E40" s="1">
        <f t="shared" si="43"/>
        <v>723071.12259714387</v>
      </c>
      <c r="F40" s="1">
        <f t="shared" si="43"/>
        <v>319295.74099540571</v>
      </c>
      <c r="G40" s="1">
        <f t="shared" si="2"/>
        <v>319295.74099540571</v>
      </c>
      <c r="H40" s="1">
        <f t="shared" si="34"/>
        <v>705602.41933213687</v>
      </c>
      <c r="I40" s="1">
        <f t="shared" si="35"/>
        <v>652682.23788222671</v>
      </c>
      <c r="J40" s="1">
        <f t="shared" si="36"/>
        <v>652682.23788222671</v>
      </c>
      <c r="K40" s="1">
        <f t="shared" si="33"/>
        <v>303972.05330516421</v>
      </c>
      <c r="L40" s="1">
        <f t="shared" si="4"/>
        <v>281174.14930727694</v>
      </c>
      <c r="M40" s="1">
        <f t="shared" si="37"/>
        <v>281174.14930727694</v>
      </c>
      <c r="N40" s="28">
        <f t="shared" si="5"/>
        <v>2.5000000000000001E-2</v>
      </c>
      <c r="O40" s="1">
        <f t="shared" si="6"/>
        <v>108460.6683895716</v>
      </c>
      <c r="P40" s="1">
        <f t="shared" si="7"/>
        <v>5953062.6115123797</v>
      </c>
      <c r="Q40" s="1">
        <f t="shared" si="26"/>
        <v>392507.09296462353</v>
      </c>
      <c r="R40" s="1"/>
      <c r="S40" s="1">
        <f t="shared" si="8"/>
        <v>28264.276712121675</v>
      </c>
      <c r="T40" s="1">
        <f t="shared" si="9"/>
        <v>885648.38975950936</v>
      </c>
      <c r="U40" s="1">
        <f t="shared" si="27"/>
        <v>58394.022965767348</v>
      </c>
      <c r="V40" s="1">
        <f t="shared" si="10"/>
        <v>36153.556129857192</v>
      </c>
      <c r="W40" s="1">
        <f t="shared" si="11"/>
        <v>1984354.2038374583</v>
      </c>
      <c r="X40" s="1">
        <f t="shared" si="28"/>
        <v>130835.6976548744</v>
      </c>
      <c r="Y40" s="1">
        <f t="shared" si="12"/>
        <v>470403.86992791871</v>
      </c>
      <c r="AA40" s="6">
        <f t="shared" si="13"/>
        <v>0.61377535560617791</v>
      </c>
      <c r="AB40" s="6">
        <f t="shared" si="14"/>
        <v>0.51213690184824456</v>
      </c>
      <c r="AC40" s="6">
        <f t="shared" si="15"/>
        <v>0.61986222387349521</v>
      </c>
      <c r="AE40" s="1">
        <f t="shared" si="38"/>
        <v>303972.05330516421</v>
      </c>
      <c r="AF40" s="1">
        <f t="shared" si="17"/>
        <v>235578.34131150227</v>
      </c>
      <c r="AG40" s="1">
        <f t="shared" si="18"/>
        <v>235578.34131150227</v>
      </c>
      <c r="AH40" s="1">
        <f t="shared" si="29"/>
        <v>1187415.9626650221</v>
      </c>
      <c r="AI40" s="1">
        <f t="shared" si="30"/>
        <v>78290.657777414599</v>
      </c>
      <c r="AJ40" s="1">
        <f t="shared" si="19"/>
        <v>28264.276712121675</v>
      </c>
      <c r="AK40" s="1">
        <f t="shared" si="20"/>
        <v>856332.18415056518</v>
      </c>
      <c r="AL40" s="1">
        <f t="shared" si="31"/>
        <v>56461.098790223266</v>
      </c>
      <c r="AM40" s="1">
        <f t="shared" si="21"/>
        <v>36153.556129857192</v>
      </c>
      <c r="AN40" s="1">
        <f t="shared" si="22"/>
        <v>1588548.8829491183</v>
      </c>
      <c r="AO40" s="1">
        <f t="shared" si="32"/>
        <v>104738.81172906957</v>
      </c>
      <c r="AP40" s="1">
        <f t="shared" si="0"/>
        <v>475068.90960820968</v>
      </c>
      <c r="BA40">
        <v>1.25</v>
      </c>
      <c r="BB40">
        <f t="shared" si="41"/>
        <v>0.5</v>
      </c>
    </row>
    <row r="41" spans="1:54" x14ac:dyDescent="0.25">
      <c r="A41">
        <f t="shared" si="42"/>
        <v>73</v>
      </c>
      <c r="B41">
        <f t="shared" si="42"/>
        <v>38</v>
      </c>
      <c r="C41">
        <f t="shared" si="1"/>
        <v>1.25</v>
      </c>
      <c r="D41" s="1">
        <f t="shared" si="24"/>
        <v>798982.93393603165</v>
      </c>
      <c r="E41" s="1">
        <f t="shared" si="43"/>
        <v>741147.90066207235</v>
      </c>
      <c r="F41" s="1">
        <f t="shared" si="43"/>
        <v>327278.13452029083</v>
      </c>
      <c r="G41" s="1">
        <f t="shared" si="2"/>
        <v>327278.13452029083</v>
      </c>
      <c r="H41" s="1">
        <f t="shared" si="34"/>
        <v>735590.52215375251</v>
      </c>
      <c r="I41" s="1">
        <f t="shared" si="35"/>
        <v>698810.99604606489</v>
      </c>
      <c r="J41" s="1">
        <f t="shared" si="36"/>
        <v>698810.99604606489</v>
      </c>
      <c r="K41" s="1">
        <f t="shared" si="33"/>
        <v>311571.35463779332</v>
      </c>
      <c r="L41" s="1">
        <f t="shared" si="4"/>
        <v>295992.78690590366</v>
      </c>
      <c r="M41" s="1">
        <f t="shared" si="37"/>
        <v>295992.78690590366</v>
      </c>
      <c r="N41" s="28">
        <f t="shared" si="5"/>
        <v>2.5000000000000001E-2</v>
      </c>
      <c r="O41" s="1">
        <f t="shared" si="6"/>
        <v>111172.18509931087</v>
      </c>
      <c r="P41" s="1">
        <f t="shared" si="7"/>
        <v>6466670.9368472733</v>
      </c>
      <c r="Q41" s="1">
        <f t="shared" si="26"/>
        <v>434218.44111844728</v>
      </c>
      <c r="R41" s="1"/>
      <c r="S41" s="1">
        <f t="shared" si="8"/>
        <v>28970.883629924709</v>
      </c>
      <c r="T41" s="1">
        <f t="shared" si="9"/>
        <v>974558.04678003339</v>
      </c>
      <c r="U41" s="1">
        <f t="shared" si="27"/>
        <v>65438.782951058201</v>
      </c>
      <c r="V41" s="1">
        <f t="shared" si="10"/>
        <v>37057.395033103618</v>
      </c>
      <c r="W41" s="1">
        <f t="shared" si="11"/>
        <v>2155556.9789490895</v>
      </c>
      <c r="X41" s="1">
        <f t="shared" si="28"/>
        <v>144739.48037281565</v>
      </c>
      <c r="Y41" s="1">
        <f t="shared" si="12"/>
        <v>506171.05022977747</v>
      </c>
      <c r="AA41" s="6">
        <f t="shared" si="13"/>
        <v>0.63351922641980063</v>
      </c>
      <c r="AB41" s="6">
        <f t="shared" si="14"/>
        <v>0.54346397485532749</v>
      </c>
      <c r="AC41" s="6">
        <f t="shared" si="15"/>
        <v>0.64341334697818675</v>
      </c>
      <c r="AE41" s="1">
        <f t="shared" si="38"/>
        <v>311571.35463779332</v>
      </c>
      <c r="AF41" s="1">
        <f t="shared" si="17"/>
        <v>249257.08371023467</v>
      </c>
      <c r="AG41" s="1">
        <f t="shared" si="18"/>
        <v>249257.08371023467</v>
      </c>
      <c r="AH41" s="1">
        <f t="shared" si="29"/>
        <v>1267566.540144911</v>
      </c>
      <c r="AI41" s="1">
        <f t="shared" si="30"/>
        <v>85113.464478210561</v>
      </c>
      <c r="AJ41" s="1">
        <f t="shared" si="19"/>
        <v>28970.883629924709</v>
      </c>
      <c r="AK41" s="1">
        <f t="shared" si="20"/>
        <v>943262.99729248544</v>
      </c>
      <c r="AL41" s="1">
        <f t="shared" si="31"/>
        <v>63337.409967042913</v>
      </c>
      <c r="AM41" s="1">
        <f t="shared" si="21"/>
        <v>37057.395033103618</v>
      </c>
      <c r="AN41" s="1">
        <f t="shared" si="22"/>
        <v>1733034.7989007863</v>
      </c>
      <c r="AO41" s="1">
        <f t="shared" si="32"/>
        <v>116368.3255467455</v>
      </c>
      <c r="AP41" s="1">
        <f t="shared" si="0"/>
        <v>514076.28370223363</v>
      </c>
      <c r="BA41">
        <v>1.25</v>
      </c>
      <c r="BB41">
        <f t="shared" si="41"/>
        <v>0.5</v>
      </c>
    </row>
    <row r="42" spans="1:54" x14ac:dyDescent="0.25">
      <c r="A42">
        <f t="shared" si="42"/>
        <v>74</v>
      </c>
      <c r="B42">
        <f t="shared" si="42"/>
        <v>39</v>
      </c>
      <c r="C42">
        <f t="shared" si="1"/>
        <v>1.25</v>
      </c>
      <c r="D42" s="1">
        <f t="shared" si="24"/>
        <v>832939.7086283128</v>
      </c>
      <c r="E42" s="1">
        <f t="shared" si="43"/>
        <v>759676.59817862406</v>
      </c>
      <c r="F42" s="1">
        <f t="shared" si="43"/>
        <v>335460.08788329805</v>
      </c>
      <c r="G42" s="1">
        <f t="shared" si="2"/>
        <v>335460.08788329805</v>
      </c>
      <c r="H42" s="1">
        <f t="shared" si="34"/>
        <v>759676.59817862406</v>
      </c>
      <c r="I42" s="1">
        <f t="shared" si="35"/>
        <v>740684.68322415848</v>
      </c>
      <c r="J42" s="1">
        <f t="shared" si="36"/>
        <v>740684.68322415848</v>
      </c>
      <c r="K42" s="1">
        <f t="shared" si="33"/>
        <v>319360.6385037381</v>
      </c>
      <c r="L42" s="1">
        <f t="shared" si="4"/>
        <v>311376.62254114466</v>
      </c>
      <c r="M42" s="1">
        <f t="shared" si="37"/>
        <v>311376.62254114466</v>
      </c>
      <c r="N42" s="28">
        <f t="shared" si="5"/>
        <v>2.5000000000000001E-2</v>
      </c>
      <c r="O42" s="1">
        <f t="shared" si="6"/>
        <v>113951.48972679363</v>
      </c>
      <c r="P42" s="1">
        <f t="shared" si="7"/>
        <v>7017742.2391187167</v>
      </c>
      <c r="Q42" s="1">
        <f t="shared" si="26"/>
        <v>480476.18539587769</v>
      </c>
      <c r="R42" s="1"/>
      <c r="S42" s="1">
        <f t="shared" si="8"/>
        <v>29695.155720672825</v>
      </c>
      <c r="T42" s="1">
        <f t="shared" si="9"/>
        <v>1070197.3154172366</v>
      </c>
      <c r="U42" s="1">
        <f t="shared" si="27"/>
        <v>73272.044799005933</v>
      </c>
      <c r="V42" s="1">
        <f t="shared" si="10"/>
        <v>37983.829908931206</v>
      </c>
      <c r="W42" s="1">
        <f t="shared" si="11"/>
        <v>2339247.4130395707</v>
      </c>
      <c r="X42" s="1">
        <f t="shared" si="28"/>
        <v>160158.72846529246</v>
      </c>
      <c r="Y42" s="1">
        <f t="shared" si="12"/>
        <v>544807.39580544305</v>
      </c>
      <c r="AA42" s="6">
        <f t="shared" si="13"/>
        <v>0.65407782839724771</v>
      </c>
      <c r="AB42" s="6">
        <f t="shared" si="14"/>
        <v>0.57684389448442441</v>
      </c>
      <c r="AC42" s="6">
        <f t="shared" si="15"/>
        <v>0.66796923200864888</v>
      </c>
      <c r="AE42" s="1">
        <f t="shared" si="38"/>
        <v>319360.6385037381</v>
      </c>
      <c r="AF42" s="1">
        <f t="shared" si="17"/>
        <v>263472.52676558396</v>
      </c>
      <c r="AG42" s="1">
        <f t="shared" si="18"/>
        <v>263472.52676558396</v>
      </c>
      <c r="AH42" s="1">
        <f t="shared" si="29"/>
        <v>1353127.2816046923</v>
      </c>
      <c r="AI42" s="1">
        <f t="shared" si="30"/>
        <v>92643.105498579971</v>
      </c>
      <c r="AJ42" s="1">
        <f t="shared" si="19"/>
        <v>29695.155720672825</v>
      </c>
      <c r="AK42" s="1">
        <f t="shared" si="20"/>
        <v>1036789.8500892792</v>
      </c>
      <c r="AL42" s="1">
        <f t="shared" si="31"/>
        <v>70984.771918698811</v>
      </c>
      <c r="AM42" s="1">
        <f t="shared" si="21"/>
        <v>37983.829908931206</v>
      </c>
      <c r="AN42" s="1">
        <f t="shared" si="22"/>
        <v>1888204.9858380072</v>
      </c>
      <c r="AO42" s="1">
        <f t="shared" si="32"/>
        <v>129277.69329909916</v>
      </c>
      <c r="AP42" s="1">
        <f t="shared" si="0"/>
        <v>556378.09748196183</v>
      </c>
      <c r="BA42">
        <v>1.25</v>
      </c>
      <c r="BB42">
        <f t="shared" si="41"/>
        <v>0.5</v>
      </c>
    </row>
    <row r="43" spans="1:54" x14ac:dyDescent="0.25">
      <c r="A43">
        <f t="shared" si="42"/>
        <v>75</v>
      </c>
      <c r="B43">
        <f t="shared" si="42"/>
        <v>40</v>
      </c>
      <c r="C43">
        <f t="shared" si="1"/>
        <v>1.25</v>
      </c>
      <c r="D43" s="1">
        <f t="shared" si="24"/>
        <v>868339.6462450159</v>
      </c>
      <c r="E43" s="1">
        <f t="shared" si="43"/>
        <v>778668.51313308964</v>
      </c>
      <c r="F43" s="1">
        <f t="shared" si="43"/>
        <v>343846.5900803805</v>
      </c>
      <c r="G43" s="1">
        <f t="shared" si="2"/>
        <v>343846.5900803805</v>
      </c>
      <c r="H43" s="1">
        <f t="shared" si="34"/>
        <v>778668.51313308964</v>
      </c>
      <c r="I43" s="1">
        <f t="shared" si="35"/>
        <v>778668.51313308964</v>
      </c>
      <c r="J43" s="1">
        <f t="shared" si="36"/>
        <v>778668.51313308964</v>
      </c>
      <c r="K43" s="1">
        <f t="shared" si="33"/>
        <v>327344.65446633153</v>
      </c>
      <c r="L43" s="1">
        <f t="shared" si="4"/>
        <v>327344.65446633153</v>
      </c>
      <c r="M43" s="1">
        <f t="shared" si="37"/>
        <v>327344.65446633153</v>
      </c>
      <c r="N43" s="28">
        <f t="shared" si="5"/>
        <v>2.5000000000000001E-2</v>
      </c>
      <c r="O43" s="1">
        <f t="shared" si="6"/>
        <v>116800.27696996347</v>
      </c>
      <c r="P43" s="1">
        <f t="shared" si="7"/>
        <v>7608875.1296443399</v>
      </c>
      <c r="Q43" s="1">
        <f t="shared" si="26"/>
        <v>531881.37137285701</v>
      </c>
      <c r="R43" s="1"/>
      <c r="S43" s="1">
        <f t="shared" si="8"/>
        <v>30437.534613689644</v>
      </c>
      <c r="T43" s="1">
        <f t="shared" si="9"/>
        <v>1173038.6496994398</v>
      </c>
      <c r="U43" s="1">
        <f t="shared" si="27"/>
        <v>81998.639095114981</v>
      </c>
      <c r="V43" s="1">
        <f t="shared" si="10"/>
        <v>38933.425656654486</v>
      </c>
      <c r="W43" s="1">
        <f t="shared" si="11"/>
        <v>2536291.7098814449</v>
      </c>
      <c r="X43" s="1">
        <f t="shared" si="28"/>
        <v>177293.79045761889</v>
      </c>
      <c r="Y43" s="1">
        <f t="shared" si="12"/>
        <v>586637.08401906537</v>
      </c>
      <c r="AA43" s="6">
        <f t="shared" si="13"/>
        <v>0.67558482047419532</v>
      </c>
      <c r="AB43" s="6">
        <f t="shared" si="14"/>
        <v>0.61252687663506522</v>
      </c>
      <c r="AC43" s="6">
        <f t="shared" si="15"/>
        <v>0.69368839064531429</v>
      </c>
      <c r="AE43" s="1">
        <f t="shared" si="38"/>
        <v>327344.65446633153</v>
      </c>
      <c r="AF43" s="1">
        <f t="shared" si="17"/>
        <v>278242.95629638183</v>
      </c>
      <c r="AG43" s="1">
        <f t="shared" si="18"/>
        <v>278242.95629638183</v>
      </c>
      <c r="AH43" s="1">
        <f t="shared" si="29"/>
        <v>1444463.3731130089</v>
      </c>
      <c r="AI43" s="1">
        <f t="shared" si="30"/>
        <v>100971.9763695375</v>
      </c>
      <c r="AJ43" s="1">
        <f t="shared" si="19"/>
        <v>30437.534613689644</v>
      </c>
      <c r="AK43" s="1">
        <f t="shared" si="20"/>
        <v>1137376.1804618454</v>
      </c>
      <c r="AL43" s="1">
        <f t="shared" si="31"/>
        <v>79505.73407020091</v>
      </c>
      <c r="AM43" s="1">
        <f t="shared" si="21"/>
        <v>38933.425656654486</v>
      </c>
      <c r="AN43" s="1">
        <f t="shared" si="22"/>
        <v>2054803.9188437758</v>
      </c>
      <c r="AO43" s="1">
        <f t="shared" si="32"/>
        <v>143636.46500110641</v>
      </c>
      <c r="AP43" s="1">
        <f t="shared" si="0"/>
        <v>602357.13173722662</v>
      </c>
      <c r="BA43">
        <v>1.25</v>
      </c>
      <c r="BB43">
        <f t="shared" si="41"/>
        <v>0.5</v>
      </c>
    </row>
    <row r="44" spans="1:54" x14ac:dyDescent="0.25">
      <c r="A44">
        <f t="shared" si="42"/>
        <v>76</v>
      </c>
      <c r="B44">
        <f t="shared" si="42"/>
        <v>41</v>
      </c>
      <c r="C44">
        <f t="shared" si="1"/>
        <v>1.25</v>
      </c>
      <c r="D44" s="1">
        <f t="shared" si="24"/>
        <v>905244.08121042885</v>
      </c>
      <c r="E44" s="1">
        <f t="shared" si="43"/>
        <v>798135.22596141684</v>
      </c>
      <c r="F44" s="1">
        <f t="shared" si="43"/>
        <v>352442.75483239</v>
      </c>
      <c r="G44" s="1">
        <f t="shared" si="2"/>
        <v>352442.75483239</v>
      </c>
      <c r="H44" s="1">
        <f t="shared" si="34"/>
        <v>798135.22596141684</v>
      </c>
      <c r="I44" s="1">
        <f t="shared" si="35"/>
        <v>798135.22596141684</v>
      </c>
      <c r="J44" s="1">
        <f t="shared" si="36"/>
        <v>798135.22596141684</v>
      </c>
      <c r="K44" s="1">
        <f t="shared" si="33"/>
        <v>335528.27082798979</v>
      </c>
      <c r="L44" s="1">
        <f t="shared" si="4"/>
        <v>335528.27082798979</v>
      </c>
      <c r="M44" s="1">
        <f t="shared" si="37"/>
        <v>335528.27082798979</v>
      </c>
      <c r="N44" s="28">
        <f t="shared" si="5"/>
        <v>2.5000000000000001E-2</v>
      </c>
      <c r="O44" s="1">
        <f t="shared" si="6"/>
        <v>119720.28389421254</v>
      </c>
      <c r="P44" s="1">
        <f t="shared" si="7"/>
        <v>8242845.3725150693</v>
      </c>
      <c r="Q44" s="1">
        <f t="shared" si="26"/>
        <v>589137.14899446198</v>
      </c>
      <c r="R44" s="1"/>
      <c r="S44" s="1">
        <f t="shared" si="8"/>
        <v>31198.472979031882</v>
      </c>
      <c r="T44" s="1">
        <f t="shared" si="9"/>
        <v>1283586.8494329802</v>
      </c>
      <c r="U44" s="1">
        <f t="shared" si="27"/>
        <v>91741.22075408946</v>
      </c>
      <c r="V44" s="1">
        <f t="shared" si="10"/>
        <v>39906.761298070844</v>
      </c>
      <c r="W44" s="1">
        <f t="shared" si="11"/>
        <v>2747615.1241716882</v>
      </c>
      <c r="X44" s="1">
        <f t="shared" si="28"/>
        <v>196379.04966482054</v>
      </c>
      <c r="Y44" s="1">
        <f t="shared" si="12"/>
        <v>623648.54124689987</v>
      </c>
      <c r="AA44" s="6">
        <f t="shared" si="13"/>
        <v>0.68892860410973444</v>
      </c>
      <c r="AB44" s="6">
        <f t="shared" si="14"/>
        <v>0.65080475114149228</v>
      </c>
      <c r="AC44" s="6">
        <f t="shared" si="15"/>
        <v>0.72075440976382554</v>
      </c>
      <c r="AE44" s="1">
        <f t="shared" si="38"/>
        <v>335528.27082798979</v>
      </c>
      <c r="AF44" s="1">
        <f t="shared" si="17"/>
        <v>293587.2369744911</v>
      </c>
      <c r="AG44" s="1">
        <f t="shared" si="18"/>
        <v>293587.2369744911</v>
      </c>
      <c r="AH44" s="1">
        <f t="shared" si="29"/>
        <v>1541964.6507981368</v>
      </c>
      <c r="AI44" s="1">
        <f t="shared" si="30"/>
        <v>110208.14017093158</v>
      </c>
      <c r="AJ44" s="1">
        <f t="shared" si="19"/>
        <v>31198.472979031882</v>
      </c>
      <c r="AK44" s="1">
        <f t="shared" si="20"/>
        <v>1245517.1635218482</v>
      </c>
      <c r="AL44" s="1">
        <f t="shared" si="31"/>
        <v>89020.28335841978</v>
      </c>
      <c r="AM44" s="1">
        <f t="shared" si="21"/>
        <v>39906.761298070844</v>
      </c>
      <c r="AN44" s="1">
        <f t="shared" si="22"/>
        <v>2233626.9072389766</v>
      </c>
      <c r="AO44" s="1">
        <f t="shared" si="32"/>
        <v>159643.00294117673</v>
      </c>
      <c r="AP44" s="1">
        <f t="shared" si="0"/>
        <v>652458.66344501916</v>
      </c>
      <c r="BA44">
        <v>1.25</v>
      </c>
      <c r="BB44">
        <f t="shared" si="41"/>
        <v>0.5</v>
      </c>
    </row>
    <row r="45" spans="1:54" x14ac:dyDescent="0.25">
      <c r="A45">
        <f t="shared" si="42"/>
        <v>77</v>
      </c>
      <c r="B45">
        <f t="shared" si="42"/>
        <v>42</v>
      </c>
      <c r="C45">
        <f t="shared" si="1"/>
        <v>1.25</v>
      </c>
      <c r="D45" s="1">
        <f t="shared" si="24"/>
        <v>943716.95466187189</v>
      </c>
      <c r="E45" s="1">
        <f t="shared" si="43"/>
        <v>818088.60661045217</v>
      </c>
      <c r="F45" s="1">
        <f t="shared" si="43"/>
        <v>361253.82370319974</v>
      </c>
      <c r="G45" s="1">
        <f t="shared" si="2"/>
        <v>361253.82370319974</v>
      </c>
      <c r="H45" s="1">
        <f t="shared" si="34"/>
        <v>818088.60661045217</v>
      </c>
      <c r="I45" s="1">
        <f t="shared" si="35"/>
        <v>818088.60661045217</v>
      </c>
      <c r="J45" s="1">
        <f t="shared" si="36"/>
        <v>818088.60661045217</v>
      </c>
      <c r="K45" s="1">
        <f t="shared" si="33"/>
        <v>343916.4775986895</v>
      </c>
      <c r="L45" s="1">
        <f t="shared" si="4"/>
        <v>343916.4775986895</v>
      </c>
      <c r="M45" s="1">
        <f t="shared" si="37"/>
        <v>343916.4775986895</v>
      </c>
      <c r="N45" s="28">
        <f t="shared" si="5"/>
        <v>2.5000000000000001E-2</v>
      </c>
      <c r="O45" s="1">
        <f t="shared" si="6"/>
        <v>122713.29099156785</v>
      </c>
      <c r="P45" s="1">
        <f t="shared" si="7"/>
        <v>8922617.8860700671</v>
      </c>
      <c r="Q45" s="1">
        <f t="shared" si="26"/>
        <v>653071.0209789559</v>
      </c>
      <c r="R45" s="1"/>
      <c r="S45" s="1">
        <f t="shared" si="8"/>
        <v>31978.434803507673</v>
      </c>
      <c r="T45" s="1">
        <f t="shared" si="9"/>
        <v>1402381.2549205052</v>
      </c>
      <c r="U45" s="1">
        <f t="shared" si="27"/>
        <v>102644.15327955599</v>
      </c>
      <c r="V45" s="1">
        <f t="shared" si="10"/>
        <v>40904.430330522613</v>
      </c>
      <c r="W45" s="1">
        <f t="shared" si="11"/>
        <v>2974205.9620233537</v>
      </c>
      <c r="X45" s="1">
        <f t="shared" si="28"/>
        <v>217690.34032631846</v>
      </c>
      <c r="Y45" s="1">
        <f t="shared" si="12"/>
        <v>664250.97120456398</v>
      </c>
      <c r="AA45" s="6">
        <f t="shared" si="13"/>
        <v>0.70386673453648096</v>
      </c>
      <c r="AB45" s="6">
        <f t="shared" si="14"/>
        <v>0.69202001484962972</v>
      </c>
      <c r="AC45" s="6">
        <f t="shared" si="15"/>
        <v>0.74938144476562885</v>
      </c>
      <c r="AE45" s="1">
        <f t="shared" si="38"/>
        <v>343916.4775986895</v>
      </c>
      <c r="AF45" s="1">
        <f t="shared" si="17"/>
        <v>309524.82983882056</v>
      </c>
      <c r="AG45" s="1">
        <f t="shared" si="18"/>
        <v>309524.82983882056</v>
      </c>
      <c r="AH45" s="1">
        <f t="shared" si="29"/>
        <v>1646047.2647270109</v>
      </c>
      <c r="AI45" s="1">
        <f t="shared" si="30"/>
        <v>120478.74082259506</v>
      </c>
      <c r="AJ45" s="1">
        <f t="shared" si="19"/>
        <v>31978.434803507673</v>
      </c>
      <c r="AK45" s="1">
        <f t="shared" si="20"/>
        <v>1361741.8652103718</v>
      </c>
      <c r="AL45" s="1">
        <f t="shared" si="31"/>
        <v>99669.6442207972</v>
      </c>
      <c r="AM45" s="1">
        <f t="shared" si="21"/>
        <v>40904.430330522613</v>
      </c>
      <c r="AN45" s="1">
        <f t="shared" si="22"/>
        <v>2425523.540447684</v>
      </c>
      <c r="AO45" s="1">
        <f t="shared" si="32"/>
        <v>177530.76005212017</v>
      </c>
      <c r="AP45" s="1">
        <f t="shared" si="0"/>
        <v>707203.974934333</v>
      </c>
      <c r="BA45">
        <v>1.25</v>
      </c>
      <c r="BB45">
        <f t="shared" si="41"/>
        <v>0.5</v>
      </c>
    </row>
    <row r="46" spans="1:54" x14ac:dyDescent="0.25">
      <c r="A46">
        <f t="shared" si="42"/>
        <v>78</v>
      </c>
      <c r="B46">
        <f t="shared" si="42"/>
        <v>43</v>
      </c>
      <c r="C46">
        <f t="shared" si="1"/>
        <v>1.25</v>
      </c>
      <c r="D46" s="1">
        <f t="shared" si="24"/>
        <v>983824.92523500125</v>
      </c>
      <c r="E46" s="1">
        <f t="shared" si="43"/>
        <v>838540.82177571335</v>
      </c>
      <c r="F46" s="1">
        <f t="shared" si="43"/>
        <v>370285.16929577972</v>
      </c>
      <c r="G46" s="1">
        <f t="shared" si="2"/>
        <v>370285.16929577972</v>
      </c>
      <c r="H46" s="1">
        <f t="shared" si="34"/>
        <v>838540.82177571335</v>
      </c>
      <c r="I46" s="1">
        <f t="shared" si="35"/>
        <v>838540.82177571335</v>
      </c>
      <c r="J46" s="1">
        <f t="shared" si="36"/>
        <v>838540.82177571335</v>
      </c>
      <c r="K46" s="1">
        <f t="shared" si="33"/>
        <v>352514.38953865675</v>
      </c>
      <c r="L46" s="1">
        <f t="shared" si="4"/>
        <v>352514.38953865675</v>
      </c>
      <c r="M46" s="1">
        <f t="shared" si="37"/>
        <v>352514.38953865675</v>
      </c>
      <c r="N46" s="28">
        <f t="shared" si="5"/>
        <v>2.5000000000000001E-2</v>
      </c>
      <c r="O46" s="1">
        <f t="shared" si="6"/>
        <v>125781.12326635703</v>
      </c>
      <c r="P46" s="1">
        <f t="shared" si="7"/>
        <v>9651359.555562783</v>
      </c>
      <c r="Q46" s="1">
        <f t="shared" si="26"/>
        <v>724663.15984486102</v>
      </c>
      <c r="R46" s="1"/>
      <c r="S46" s="1">
        <f t="shared" si="8"/>
        <v>32777.895673595354</v>
      </c>
      <c r="T46" s="1">
        <f t="shared" si="9"/>
        <v>1529998.0901072081</v>
      </c>
      <c r="U46" s="1">
        <f t="shared" si="27"/>
        <v>114878.45252792886</v>
      </c>
      <c r="V46" s="1">
        <f t="shared" si="10"/>
        <v>41927.041088785671</v>
      </c>
      <c r="W46" s="1">
        <f t="shared" si="11"/>
        <v>3217119.8518542587</v>
      </c>
      <c r="X46" s="1">
        <f t="shared" si="28"/>
        <v>241554.38661495349</v>
      </c>
      <c r="Y46" s="1">
        <f t="shared" si="12"/>
        <v>708947.22868153907</v>
      </c>
      <c r="AA46" s="6">
        <f t="shared" si="13"/>
        <v>0.72060303667565284</v>
      </c>
      <c r="AB46" s="6">
        <f t="shared" si="14"/>
        <v>0.73657735360970289</v>
      </c>
      <c r="AC46" s="6">
        <f t="shared" si="15"/>
        <v>0.77982121001172888</v>
      </c>
      <c r="AE46" s="1">
        <f t="shared" si="38"/>
        <v>352514.38953865675</v>
      </c>
      <c r="AF46" s="1">
        <f t="shared" si="17"/>
        <v>326075.81032325752</v>
      </c>
      <c r="AG46" s="1">
        <f t="shared" si="18"/>
        <v>326075.81032325752</v>
      </c>
      <c r="AH46" s="1">
        <f t="shared" si="29"/>
        <v>1757155.4550960839</v>
      </c>
      <c r="AI46" s="1">
        <f t="shared" si="30"/>
        <v>131934.34739405609</v>
      </c>
      <c r="AJ46" s="1">
        <f t="shared" si="19"/>
        <v>32777.895673595354</v>
      </c>
      <c r="AK46" s="1">
        <f t="shared" si="20"/>
        <v>1486615.5415916408</v>
      </c>
      <c r="AL46" s="1">
        <f t="shared" si="31"/>
        <v>111621.11510220896</v>
      </c>
      <c r="AM46" s="1">
        <f t="shared" si="21"/>
        <v>41927.041088785671</v>
      </c>
      <c r="AN46" s="1">
        <f t="shared" si="22"/>
        <v>2631401.3668222316</v>
      </c>
      <c r="AO46" s="1">
        <f t="shared" si="32"/>
        <v>197576.27081693488</v>
      </c>
      <c r="AP46" s="1">
        <f t="shared" si="0"/>
        <v>767207.54363645741</v>
      </c>
      <c r="BA46">
        <v>1.25</v>
      </c>
      <c r="BB46">
        <f t="shared" si="41"/>
        <v>0.5</v>
      </c>
    </row>
    <row r="47" spans="1:54" x14ac:dyDescent="0.25">
      <c r="A47">
        <f t="shared" si="42"/>
        <v>79</v>
      </c>
      <c r="B47">
        <f t="shared" si="42"/>
        <v>44</v>
      </c>
      <c r="C47">
        <f t="shared" si="1"/>
        <v>1.25</v>
      </c>
      <c r="D47" s="1">
        <f t="shared" si="24"/>
        <v>1025637.4845574886</v>
      </c>
      <c r="E47" s="1">
        <f t="shared" si="43"/>
        <v>859504.34232010611</v>
      </c>
      <c r="F47" s="1">
        <f t="shared" si="43"/>
        <v>379542.29852817417</v>
      </c>
      <c r="G47" s="1">
        <f t="shared" si="2"/>
        <v>379542.29852817417</v>
      </c>
      <c r="H47" s="1">
        <f t="shared" si="34"/>
        <v>859504.34232010611</v>
      </c>
      <c r="I47" s="1">
        <f t="shared" si="35"/>
        <v>859504.34232010611</v>
      </c>
      <c r="J47" s="1">
        <f t="shared" si="36"/>
        <v>859504.34232010611</v>
      </c>
      <c r="K47" s="1">
        <f t="shared" si="33"/>
        <v>361327.24927712313</v>
      </c>
      <c r="L47" s="1">
        <f t="shared" si="4"/>
        <v>361327.24927712313</v>
      </c>
      <c r="M47" s="1">
        <f t="shared" si="37"/>
        <v>361327.24927712313</v>
      </c>
      <c r="N47" s="28">
        <f t="shared" si="5"/>
        <v>2.5000000000000001E-2</v>
      </c>
      <c r="O47" s="1">
        <f t="shared" si="6"/>
        <v>128925.65134801593</v>
      </c>
      <c r="P47" s="1">
        <f t="shared" si="7"/>
        <v>10432452.911800832</v>
      </c>
      <c r="Q47" s="1">
        <f t="shared" si="26"/>
        <v>805082.81644624681</v>
      </c>
      <c r="R47" s="1"/>
      <c r="S47" s="1">
        <f t="shared" si="8"/>
        <v>33597.343065435241</v>
      </c>
      <c r="T47" s="1">
        <f t="shared" si="9"/>
        <v>1667052.9641810027</v>
      </c>
      <c r="U47" s="1">
        <f t="shared" si="27"/>
        <v>128648.14314663725</v>
      </c>
      <c r="V47" s="1">
        <f t="shared" si="10"/>
        <v>42975.217116005311</v>
      </c>
      <c r="W47" s="1">
        <f t="shared" si="11"/>
        <v>3477484.3039336079</v>
      </c>
      <c r="X47" s="1">
        <f t="shared" si="28"/>
        <v>268360.93881541543</v>
      </c>
      <c r="Y47" s="1">
        <f t="shared" si="12"/>
        <v>758336.33123917575</v>
      </c>
      <c r="AA47" s="6">
        <f t="shared" si="13"/>
        <v>0.73938047571102572</v>
      </c>
      <c r="AB47" s="6">
        <f t="shared" si="14"/>
        <v>0.78495845614847037</v>
      </c>
      <c r="AC47" s="6">
        <f t="shared" si="15"/>
        <v>0.81237196541427681</v>
      </c>
      <c r="AE47" s="1">
        <f t="shared" si="38"/>
        <v>361327.24927712313</v>
      </c>
      <c r="AF47" s="1">
        <f t="shared" si="17"/>
        <v>343260.88681326696</v>
      </c>
      <c r="AG47" s="1">
        <f t="shared" si="18"/>
        <v>343260.88681326696</v>
      </c>
      <c r="AH47" s="1">
        <f t="shared" si="29"/>
        <v>1875763.4483150693</v>
      </c>
      <c r="AI47" s="1">
        <f t="shared" si="30"/>
        <v>144754.53977349814</v>
      </c>
      <c r="AJ47" s="1">
        <f t="shared" si="19"/>
        <v>33597.343065435241</v>
      </c>
      <c r="AK47" s="1">
        <f t="shared" si="20"/>
        <v>1620742.0936406348</v>
      </c>
      <c r="AL47" s="1">
        <f t="shared" si="31"/>
        <v>125074.28698817403</v>
      </c>
      <c r="AM47" s="1">
        <f t="shared" si="21"/>
        <v>42975.217116005311</v>
      </c>
      <c r="AN47" s="1">
        <f t="shared" si="22"/>
        <v>2852229.8211619193</v>
      </c>
      <c r="AO47" s="1">
        <f t="shared" si="32"/>
        <v>220109.42555758276</v>
      </c>
      <c r="AP47" s="1">
        <f t="shared" si="0"/>
        <v>833199.13913252193</v>
      </c>
      <c r="BA47">
        <v>1.25</v>
      </c>
      <c r="BB47">
        <f t="shared" si="41"/>
        <v>0.5</v>
      </c>
    </row>
    <row r="48" spans="1:54" x14ac:dyDescent="0.25">
      <c r="A48">
        <f t="shared" si="42"/>
        <v>80</v>
      </c>
      <c r="B48">
        <f t="shared" si="42"/>
        <v>45</v>
      </c>
      <c r="C48">
        <f t="shared" si="1"/>
        <v>1.25</v>
      </c>
      <c r="D48" s="1">
        <f t="shared" si="24"/>
        <v>1069227.0776511815</v>
      </c>
      <c r="E48" s="1">
        <f t="shared" si="43"/>
        <v>880991.95087810874</v>
      </c>
      <c r="F48" s="1">
        <f t="shared" si="43"/>
        <v>389030.85599137848</v>
      </c>
      <c r="G48" s="1">
        <f t="shared" si="2"/>
        <v>389030.85599137848</v>
      </c>
      <c r="H48" s="1">
        <f t="shared" si="34"/>
        <v>880991.95087810874</v>
      </c>
      <c r="I48" s="1">
        <f t="shared" si="35"/>
        <v>880991.95087810874</v>
      </c>
      <c r="J48" s="1">
        <f t="shared" si="36"/>
        <v>880991.95087810874</v>
      </c>
      <c r="K48" s="1">
        <f t="shared" si="33"/>
        <v>370360.43050905119</v>
      </c>
      <c r="L48" s="1">
        <f t="shared" si="4"/>
        <v>370360.43050905119</v>
      </c>
      <c r="M48" s="1">
        <f t="shared" si="37"/>
        <v>370360.43050905119</v>
      </c>
      <c r="N48" s="28">
        <f t="shared" si="5"/>
        <v>2.5000000000000001E-2</v>
      </c>
      <c r="O48" s="1">
        <f t="shared" si="6"/>
        <v>132148.79263171632</v>
      </c>
      <c r="P48" s="1">
        <f t="shared" si="7"/>
        <v>11269510.734240886</v>
      </c>
      <c r="Q48" s="1">
        <f t="shared" si="26"/>
        <v>895735.65205686376</v>
      </c>
      <c r="R48" s="1"/>
      <c r="S48" s="1">
        <f t="shared" si="8"/>
        <v>34437.27664207112</v>
      </c>
      <c r="T48" s="1">
        <f t="shared" si="9"/>
        <v>1814203.5423295675</v>
      </c>
      <c r="U48" s="1">
        <f t="shared" si="27"/>
        <v>144198.52212527403</v>
      </c>
      <c r="V48" s="1">
        <f t="shared" si="10"/>
        <v>44049.597543905438</v>
      </c>
      <c r="W48" s="1">
        <f t="shared" si="11"/>
        <v>3756503.5780802928</v>
      </c>
      <c r="X48" s="1">
        <f t="shared" si="28"/>
        <v>298578.55068562104</v>
      </c>
      <c r="Y48" s="1">
        <f t="shared" si="12"/>
        <v>813137.50331994635</v>
      </c>
      <c r="AA48" s="6">
        <f t="shared" si="13"/>
        <v>0.76049093809539647</v>
      </c>
      <c r="AB48" s="6">
        <f t="shared" si="14"/>
        <v>0.83774127197055837</v>
      </c>
      <c r="AC48" s="6">
        <f t="shared" si="15"/>
        <v>0.84739019786191749</v>
      </c>
      <c r="AE48" s="1">
        <f t="shared" si="38"/>
        <v>370360.43050905119</v>
      </c>
      <c r="AF48" s="1">
        <f t="shared" si="17"/>
        <v>361101.41974632494</v>
      </c>
      <c r="AG48" s="1">
        <f t="shared" si="18"/>
        <v>361101.41974632494</v>
      </c>
      <c r="AH48" s="1">
        <f t="shared" si="29"/>
        <v>2002377.4810763362</v>
      </c>
      <c r="AI48" s="1">
        <f t="shared" si="30"/>
        <v>159155.17017311839</v>
      </c>
      <c r="AJ48" s="1">
        <f t="shared" si="19"/>
        <v>34437.27664207112</v>
      </c>
      <c r="AK48" s="1">
        <f t="shared" si="20"/>
        <v>1764766.6880277246</v>
      </c>
      <c r="AL48" s="1">
        <f t="shared" si="31"/>
        <v>140269.12767612943</v>
      </c>
      <c r="AM48" s="1">
        <f t="shared" si="21"/>
        <v>44049.597543905438</v>
      </c>
      <c r="AN48" s="1">
        <f t="shared" si="22"/>
        <v>3089044.4177215151</v>
      </c>
      <c r="AO48" s="1">
        <f t="shared" si="32"/>
        <v>245526.82729458172</v>
      </c>
      <c r="AP48" s="1">
        <f t="shared" si="0"/>
        <v>906052.5448901545</v>
      </c>
      <c r="BA48">
        <v>1.25</v>
      </c>
      <c r="BB48">
        <f t="shared" si="41"/>
        <v>0.5</v>
      </c>
    </row>
    <row r="49" spans="1:54" x14ac:dyDescent="0.25">
      <c r="A49">
        <f t="shared" si="42"/>
        <v>81</v>
      </c>
      <c r="B49">
        <f t="shared" si="42"/>
        <v>46</v>
      </c>
      <c r="C49">
        <f t="shared" si="1"/>
        <v>1.25</v>
      </c>
      <c r="D49" s="1">
        <f t="shared" si="24"/>
        <v>1114669.2284513565</v>
      </c>
      <c r="E49" s="1">
        <f t="shared" si="43"/>
        <v>903016.74965006136</v>
      </c>
      <c r="F49" s="1">
        <f t="shared" si="43"/>
        <v>398756.62739116291</v>
      </c>
      <c r="G49" s="1">
        <f t="shared" si="2"/>
        <v>398756.62739116291</v>
      </c>
      <c r="H49" s="1">
        <f t="shared" si="34"/>
        <v>903016.74965006136</v>
      </c>
      <c r="I49" s="1">
        <f t="shared" si="35"/>
        <v>903016.74965006136</v>
      </c>
      <c r="J49" s="1">
        <f t="shared" si="36"/>
        <v>903016.74965006136</v>
      </c>
      <c r="K49" s="1">
        <f t="shared" si="33"/>
        <v>379619.44127177738</v>
      </c>
      <c r="L49" s="1">
        <f t="shared" si="4"/>
        <v>379619.44127177738</v>
      </c>
      <c r="M49" s="1">
        <f t="shared" si="37"/>
        <v>379619.44127177738</v>
      </c>
      <c r="N49" s="28">
        <f t="shared" si="5"/>
        <v>2.5000000000000001E-2</v>
      </c>
      <c r="O49" s="1">
        <f t="shared" si="6"/>
        <v>135452.51244750922</v>
      </c>
      <c r="P49" s="1">
        <f t="shared" si="7"/>
        <v>12166391.640967984</v>
      </c>
      <c r="Q49" s="1">
        <f t="shared" si="26"/>
        <v>998326.01848345087</v>
      </c>
      <c r="R49" s="1"/>
      <c r="S49" s="1">
        <f t="shared" si="8"/>
        <v>35298.208558122897</v>
      </c>
      <c r="T49" s="1">
        <f t="shared" si="9"/>
        <v>1972152.3970798191</v>
      </c>
      <c r="U49" s="1">
        <f t="shared" si="27"/>
        <v>161827.03208316606</v>
      </c>
      <c r="V49" s="1">
        <f t="shared" si="10"/>
        <v>45150.83748250307</v>
      </c>
      <c r="W49" s="1">
        <f t="shared" si="11"/>
        <v>4055463.880322658</v>
      </c>
      <c r="X49" s="1">
        <f t="shared" si="28"/>
        <v>332775.33949448337</v>
      </c>
      <c r="Y49" s="1">
        <f t="shared" si="12"/>
        <v>874221.81284942687</v>
      </c>
      <c r="AA49" s="6">
        <f t="shared" si="13"/>
        <v>0.78428810138054095</v>
      </c>
      <c r="AB49" s="6">
        <f t="shared" si="14"/>
        <v>0.89562535055395331</v>
      </c>
      <c r="AC49" s="6">
        <f t="shared" si="15"/>
        <v>0.8853059903335363</v>
      </c>
      <c r="AE49" s="1">
        <f t="shared" si="38"/>
        <v>379619.44127177738</v>
      </c>
      <c r="AF49" s="1">
        <f t="shared" si="17"/>
        <v>379619.44127177738</v>
      </c>
      <c r="AG49" s="1">
        <f t="shared" si="18"/>
        <v>379619.44127177738</v>
      </c>
      <c r="AH49" s="1">
        <f t="shared" si="29"/>
        <v>2137537.9610489886</v>
      </c>
      <c r="AI49" s="1">
        <f t="shared" si="30"/>
        <v>175397.91788598779</v>
      </c>
      <c r="AJ49" s="1">
        <f t="shared" si="19"/>
        <v>35298.208558122897</v>
      </c>
      <c r="AK49" s="1">
        <f t="shared" si="20"/>
        <v>1919378.555112602</v>
      </c>
      <c r="AL49" s="1">
        <f t="shared" si="31"/>
        <v>157496.61916486101</v>
      </c>
      <c r="AM49" s="1">
        <f t="shared" si="21"/>
        <v>45150.83748250307</v>
      </c>
      <c r="AN49" s="1">
        <f t="shared" si="22"/>
        <v>3342951.2266396629</v>
      </c>
      <c r="AO49" s="1">
        <f t="shared" si="32"/>
        <v>274309.36686582089</v>
      </c>
      <c r="AP49" s="1">
        <f t="shared" si="0"/>
        <v>986823.34518844704</v>
      </c>
      <c r="BA49">
        <v>1.25</v>
      </c>
      <c r="BB49">
        <f t="shared" si="41"/>
        <v>0.5</v>
      </c>
    </row>
    <row r="50" spans="1:54" x14ac:dyDescent="0.25">
      <c r="A50">
        <f t="shared" si="42"/>
        <v>82</v>
      </c>
      <c r="B50">
        <f t="shared" si="42"/>
        <v>47</v>
      </c>
      <c r="C50">
        <f t="shared" si="1"/>
        <v>1.25</v>
      </c>
      <c r="D50" s="1">
        <f t="shared" si="24"/>
        <v>1162042.6706605388</v>
      </c>
      <c r="E50" s="1">
        <f t="shared" si="43"/>
        <v>925592.16839131282</v>
      </c>
      <c r="F50" s="1">
        <f t="shared" si="43"/>
        <v>408725.54307594197</v>
      </c>
      <c r="G50" s="1">
        <f t="shared" si="2"/>
        <v>408725.54307594197</v>
      </c>
      <c r="H50" s="1">
        <f t="shared" si="34"/>
        <v>925592.16839131282</v>
      </c>
      <c r="I50" s="1">
        <f t="shared" si="35"/>
        <v>925592.16839131282</v>
      </c>
      <c r="J50" s="1">
        <f t="shared" si="36"/>
        <v>925592.16839131282</v>
      </c>
      <c r="K50" s="1">
        <f t="shared" si="33"/>
        <v>389109.92730357184</v>
      </c>
      <c r="L50" s="1">
        <f t="shared" si="4"/>
        <v>389109.92730357184</v>
      </c>
      <c r="M50" s="1">
        <f t="shared" si="37"/>
        <v>389109.92730357184</v>
      </c>
      <c r="N50" s="28">
        <f t="shared" si="5"/>
        <v>2.5000000000000001E-2</v>
      </c>
      <c r="O50" s="1">
        <f t="shared" si="6"/>
        <v>138838.82525869695</v>
      </c>
      <c r="P50" s="1">
        <f t="shared" si="7"/>
        <v>13127216.732203305</v>
      </c>
      <c r="Q50" s="1">
        <f t="shared" si="26"/>
        <v>1114939.9993481978</v>
      </c>
      <c r="R50" s="1"/>
      <c r="S50" s="1">
        <f t="shared" si="8"/>
        <v>36180.663772075961</v>
      </c>
      <c r="T50" s="1">
        <f t="shared" si="9"/>
        <v>2141650.0524167879</v>
      </c>
      <c r="U50" s="1">
        <f t="shared" si="27"/>
        <v>181897.7591942953</v>
      </c>
      <c r="V50" s="1">
        <f t="shared" si="10"/>
        <v>46279.608419565644</v>
      </c>
      <c r="W50" s="1">
        <f t="shared" si="11"/>
        <v>4375738.9107344309</v>
      </c>
      <c r="X50" s="1">
        <f t="shared" si="28"/>
        <v>371646.66644939885</v>
      </c>
      <c r="Y50" s="1">
        <f t="shared" si="12"/>
        <v>942654.35294726596</v>
      </c>
      <c r="AA50" s="6">
        <f t="shared" si="13"/>
        <v>0.81120459407177692</v>
      </c>
      <c r="AB50" s="6">
        <f t="shared" si="14"/>
        <v>0.95946562677808855</v>
      </c>
      <c r="AC50" s="6">
        <f t="shared" si="15"/>
        <v>0.91827226413480012</v>
      </c>
      <c r="AE50" s="1">
        <f t="shared" si="38"/>
        <v>389109.92730357184</v>
      </c>
      <c r="AF50" s="1">
        <f t="shared" si="17"/>
        <v>389109.92730357184</v>
      </c>
      <c r="AG50" s="1">
        <f t="shared" si="18"/>
        <v>389109.92730357184</v>
      </c>
      <c r="AH50" s="1">
        <f t="shared" si="29"/>
        <v>2281821.7734197951</v>
      </c>
      <c r="AI50" s="1">
        <f t="shared" si="30"/>
        <v>193803.02911646696</v>
      </c>
      <c r="AJ50" s="1">
        <f t="shared" si="19"/>
        <v>36180.663772075961</v>
      </c>
      <c r="AK50" s="1">
        <f t="shared" si="20"/>
        <v>2085313.9761167835</v>
      </c>
      <c r="AL50" s="1">
        <f t="shared" si="31"/>
        <v>177112.94104475414</v>
      </c>
      <c r="AM50" s="1">
        <f t="shared" si="21"/>
        <v>46279.608419565644</v>
      </c>
      <c r="AN50" s="1">
        <f t="shared" si="22"/>
        <v>3615131.6529278345</v>
      </c>
      <c r="AO50" s="1">
        <f t="shared" si="32"/>
        <v>307045.65674391005</v>
      </c>
      <c r="AP50" s="1">
        <f t="shared" si="0"/>
        <v>1067071.5542087029</v>
      </c>
      <c r="BA50">
        <v>1.25</v>
      </c>
      <c r="BB50">
        <f t="shared" si="41"/>
        <v>0.5</v>
      </c>
    </row>
    <row r="51" spans="1:54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A51" s="6"/>
      <c r="AB51" s="6"/>
      <c r="AC51" s="6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54" ht="110.25" x14ac:dyDescent="0.25">
      <c r="A52" s="25" t="s">
        <v>19</v>
      </c>
      <c r="B52" s="25" t="s">
        <v>20</v>
      </c>
      <c r="C52" s="25" t="s">
        <v>22</v>
      </c>
      <c r="D52" s="25" t="s">
        <v>21</v>
      </c>
      <c r="E52" s="25" t="s">
        <v>80</v>
      </c>
      <c r="F52" s="25" t="s">
        <v>62</v>
      </c>
      <c r="G52" s="25" t="s">
        <v>34</v>
      </c>
      <c r="H52" s="25" t="s">
        <v>38</v>
      </c>
      <c r="I52" s="25" t="s">
        <v>57</v>
      </c>
      <c r="J52" s="25"/>
      <c r="K52" s="25"/>
      <c r="L52" s="25"/>
      <c r="Q52" t="s">
        <v>86</v>
      </c>
    </row>
    <row r="53" spans="1:54" x14ac:dyDescent="0.25">
      <c r="A53" s="3">
        <f>Home_Page!D4</f>
        <v>35</v>
      </c>
      <c r="B53" s="3">
        <f>Home_Page!D6</f>
        <v>125000</v>
      </c>
      <c r="C53" s="4">
        <f>Home_Page!I3/100</f>
        <v>6.7500000000000004E-2</v>
      </c>
      <c r="D53" s="4">
        <f>Home_Page!I5/100</f>
        <v>2.5000000000000001E-2</v>
      </c>
      <c r="E53" s="19">
        <f>Home_Page!D9</f>
        <v>60</v>
      </c>
      <c r="F53">
        <f>0.018 + IF(AND($E$53&gt;60,$E$53&lt;65),0.0014*($E$53-60)) + IF($E$53&gt;64,(0.025-0.018),0)</f>
        <v>1.7999999999999999E-2</v>
      </c>
      <c r="G53" s="2">
        <f>MIN(D53,IF(D53&lt;0.04,0.02,MIN(0.06,(0.02+0.75*(D53-0.04)))))</f>
        <v>0.02</v>
      </c>
      <c r="H53" s="19">
        <f>Home_Page!I7</f>
        <v>6</v>
      </c>
      <c r="I53" s="19">
        <f>Home_Page!I10</f>
        <v>100</v>
      </c>
      <c r="J53" s="42" t="s">
        <v>117</v>
      </c>
      <c r="Q53" s="3">
        <f>IF(Home_Page!$D$3="YES",1,0)</f>
        <v>1</v>
      </c>
    </row>
    <row r="55" spans="1:54" x14ac:dyDescent="0.25">
      <c r="A55" s="18" t="s">
        <v>46</v>
      </c>
    </row>
    <row r="56" spans="1:54" x14ac:dyDescent="0.25">
      <c r="A56">
        <v>0.08</v>
      </c>
      <c r="B56" t="s">
        <v>47</v>
      </c>
    </row>
    <row r="57" spans="1:54" x14ac:dyDescent="0.25">
      <c r="A57">
        <v>7.0000000000000007E-2</v>
      </c>
      <c r="B57" t="s">
        <v>48</v>
      </c>
    </row>
    <row r="58" spans="1:54" x14ac:dyDescent="0.25">
      <c r="A58" s="1">
        <f>VLOOKUP($E$53,A3:D50,4)</f>
        <v>455195.08735311992</v>
      </c>
      <c r="B58" t="s">
        <v>84</v>
      </c>
    </row>
    <row r="59" spans="1:54" x14ac:dyDescent="0.25">
      <c r="C59">
        <f>(1+$C$53)^(1/12)</f>
        <v>1.0054581304569468</v>
      </c>
      <c r="D59" t="s">
        <v>49</v>
      </c>
    </row>
    <row r="60" spans="1:54" x14ac:dyDescent="0.25">
      <c r="C60">
        <f>C59^11+C59^10+C59^9+C59^8+C59^7+C59^6+C59^5+C59^4+C59^3+C59^2+C59+1</f>
        <v>12.36687186802058</v>
      </c>
      <c r="D60" t="s">
        <v>50</v>
      </c>
    </row>
    <row r="62" spans="1:54" x14ac:dyDescent="0.25">
      <c r="A62" s="5" t="s">
        <v>81</v>
      </c>
    </row>
    <row r="63" spans="1:54" x14ac:dyDescent="0.25">
      <c r="A63" s="5" t="s">
        <v>88</v>
      </c>
    </row>
    <row r="64" spans="1:54" x14ac:dyDescent="0.25">
      <c r="A64" s="5" t="s">
        <v>89</v>
      </c>
    </row>
    <row r="65" spans="1:1" x14ac:dyDescent="0.25">
      <c r="A65" s="5" t="s">
        <v>90</v>
      </c>
    </row>
    <row r="66" spans="1:1" x14ac:dyDescent="0.25">
      <c r="A66" s="5" t="s">
        <v>51</v>
      </c>
    </row>
    <row r="68" spans="1:1" x14ac:dyDescent="0.25">
      <c r="A68" t="s">
        <v>119</v>
      </c>
    </row>
    <row r="69" spans="1:1" x14ac:dyDescent="0.25">
      <c r="A69" s="41" t="s">
        <v>118</v>
      </c>
    </row>
  </sheetData>
  <hyperlinks>
    <hyperlink ref="A69" r:id="rId1" xr:uid="{6D77B8EF-46E1-44E9-B92A-BAE08CBD87C3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Read Me!</vt:lpstr>
      <vt:lpstr>Home_Page</vt:lpstr>
      <vt:lpstr>Tabular_Output</vt:lpstr>
      <vt:lpstr>Sheet1</vt:lpstr>
      <vt:lpstr>Output</vt:lpstr>
      <vt:lpstr>Home_Page!Print_Area</vt:lpstr>
      <vt:lpstr>Tabular_Output!Print_Area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JimC</dc:creator>
  <cp:lastModifiedBy>David Brownstone</cp:lastModifiedBy>
  <cp:lastPrinted>2022-03-13T01:23:42Z</cp:lastPrinted>
  <dcterms:created xsi:type="dcterms:W3CDTF">2021-04-21T15:30:37Z</dcterms:created>
  <dcterms:modified xsi:type="dcterms:W3CDTF">2022-03-31T17:21:11Z</dcterms:modified>
</cp:coreProperties>
</file>